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9732" activeTab="0"/>
  </bookViews>
  <sheets>
    <sheet name="INCHES PANEL XO Handle" sheetId="1" r:id="rId1"/>
    <sheet name="INCHES Panel XX Handle" sheetId="2" r:id="rId2"/>
    <sheet name="INCHES PANEL OO" sheetId="3" r:id="rId3"/>
    <sheet name="RELEASES" sheetId="4" r:id="rId4"/>
  </sheets>
  <definedNames>
    <definedName name="_xlnm.Print_Area" localSheetId="2">'INCHES PANEL OO'!$A$1:$M$81</definedName>
    <definedName name="_xlnm.Print_Area" localSheetId="0">'INCHES PANEL XO Handle'!$A$1:$M$81</definedName>
    <definedName name="_xlnm.Print_Area" localSheetId="1">'INCHES Panel XX Handle'!$A$1:$M$78</definedName>
  </definedNames>
  <calcPr fullCalcOnLoad="1"/>
</workbook>
</file>

<file path=xl/sharedStrings.xml><?xml version="1.0" encoding="utf-8"?>
<sst xmlns="http://schemas.openxmlformats.org/spreadsheetml/2006/main" count="478" uniqueCount="155">
  <si>
    <t>QTY</t>
  </si>
  <si>
    <t>STOCK LENGTH</t>
  </si>
  <si>
    <t xml:space="preserve">DESCRIPTION </t>
  </si>
  <si>
    <t>GLASS</t>
  </si>
  <si>
    <t>EXTR ITEM #</t>
  </si>
  <si>
    <t>LENGTH (IN)</t>
  </si>
  <si>
    <t>Quantity</t>
  </si>
  <si>
    <t>Width (in)</t>
  </si>
  <si>
    <t>Height (in)</t>
  </si>
  <si>
    <t>Frame, Head &amp; Sill</t>
  </si>
  <si>
    <t>Frame, Jamb</t>
  </si>
  <si>
    <t>Condensation Gutter/Drip Edge</t>
  </si>
  <si>
    <t>T-REX Cover, Head interior</t>
  </si>
  <si>
    <t>Sash, Head &amp; Sill</t>
  </si>
  <si>
    <t>Sash, Jamb</t>
  </si>
  <si>
    <t>Sash Glass Stop, Head &amp; Sill</t>
  </si>
  <si>
    <t>Sash Glass Stop, Jambs</t>
  </si>
  <si>
    <t>Sash End Cover</t>
  </si>
  <si>
    <t>Lift &amp; Slide Gasket***</t>
  </si>
  <si>
    <t>Glazing Gasket ***</t>
  </si>
  <si>
    <t xml:space="preserve">* Enter # of stock lengths based on cut lenghts, quantity saw kerfs, overage, etc. </t>
  </si>
  <si>
    <t xml:space="preserve">** Cut to size in field.  Cut length shown is for material planning purposes only. </t>
  </si>
  <si>
    <t xml:space="preserve">*** For gasketing, length shown is total required for project.  Determine number of rolls per manufacturer's roll size. </t>
  </si>
  <si>
    <t>21-0"</t>
  </si>
  <si>
    <t>21'-0"</t>
  </si>
  <si>
    <t>2'-0"</t>
  </si>
  <si>
    <t>16'-0"</t>
  </si>
  <si>
    <t>14'-0"</t>
  </si>
  <si>
    <t>12'-0"</t>
  </si>
  <si>
    <t>(XO SHOWN OX OPPOSITE)</t>
  </si>
  <si>
    <t xml:space="preserve">                 "EXTERIOR VIEW"</t>
  </si>
  <si>
    <t>Connecting Rod CR-A</t>
  </si>
  <si>
    <t>Connecting Rod CR-B</t>
  </si>
  <si>
    <t>Connecting Rod CR-C</t>
  </si>
  <si>
    <t>Connecting Rod CR-D</t>
  </si>
  <si>
    <t>45/45</t>
  </si>
  <si>
    <t>90/90</t>
  </si>
  <si>
    <t>END CUT</t>
  </si>
  <si>
    <t>90/45</t>
  </si>
  <si>
    <t>ALUM. WT. (LBS)</t>
  </si>
  <si>
    <t>ROLL</t>
  </si>
  <si>
    <t>TECHNIFORM POLYAMIDE / PVC #</t>
  </si>
  <si>
    <t>ALUMINUM (LBS)</t>
  </si>
  <si>
    <t>DESCRIPTION</t>
  </si>
  <si>
    <t>PRICE PER</t>
  </si>
  <si>
    <t>COST</t>
  </si>
  <si>
    <t>GLAZING GASKET (FT)</t>
  </si>
  <si>
    <t>MATERIAL COST</t>
  </si>
  <si>
    <t>FRAME KIT</t>
  </si>
  <si>
    <t>SASH</t>
  </si>
  <si>
    <t>LABOR RATE</t>
  </si>
  <si>
    <t>TOTAL</t>
  </si>
  <si>
    <t>LABOR COST</t>
  </si>
  <si>
    <t>TOTAL COST</t>
  </si>
  <si>
    <t>HARDWARE</t>
  </si>
  <si>
    <t>ALUMINUM / POLYAMIDE / PVC</t>
  </si>
  <si>
    <t>POLYAMIDE 279500 (FT)</t>
  </si>
  <si>
    <t>POLYAMIDE 306300 FT)</t>
  </si>
  <si>
    <t>POLYAMIDE 306200 (FT)</t>
  </si>
  <si>
    <t>POLYAMIDE 311300 (FT)</t>
  </si>
  <si>
    <t>PVC 354300 (FT)</t>
  </si>
  <si>
    <t>POLYAMIDE / PVC  LINEAL FT.</t>
  </si>
  <si>
    <t>*HRS</t>
  </si>
  <si>
    <t>(XX SHOWN)</t>
  </si>
  <si>
    <t xml:space="preserve">*** For gasketing, length shown is total required. Determine number of rolls per manufacturer's roll size. </t>
  </si>
  <si>
    <t>GLASS COST</t>
  </si>
  <si>
    <t>SQ. FT.</t>
  </si>
  <si>
    <t>PRICE / SQ.FT.</t>
  </si>
  <si>
    <t>TOTAL COST (ALL MATERIALS + LABOR)</t>
  </si>
  <si>
    <t>POLYAMIDE 259800 (FT)</t>
  </si>
  <si>
    <t>Connecting Rod CR-E1</t>
  </si>
  <si>
    <t xml:space="preserve">Connecting Rod CR-E1 </t>
  </si>
  <si>
    <t>Connecting Rod CR-E</t>
  </si>
  <si>
    <t>`</t>
  </si>
  <si>
    <t>Assembled Extrusion Wt./Ft. (LBS)</t>
  </si>
  <si>
    <t>ITEM #</t>
  </si>
  <si>
    <t>S-46230</t>
  </si>
  <si>
    <t>S-46229</t>
  </si>
  <si>
    <t>S-46233</t>
  </si>
  <si>
    <t>S-46231</t>
  </si>
  <si>
    <t>Keymark Extrusion #</t>
  </si>
  <si>
    <t>S-46232 &amp; S-46241</t>
  </si>
  <si>
    <t>H-11081 &amp; H-11082</t>
  </si>
  <si>
    <t xml:space="preserve">Sash Interlock </t>
  </si>
  <si>
    <t>Sash Interlock</t>
  </si>
  <si>
    <t xml:space="preserve">Slide Rail </t>
  </si>
  <si>
    <t xml:space="preserve">Track Cover, Head </t>
  </si>
  <si>
    <t>Track Cover, Jambs</t>
  </si>
  <si>
    <t>Slide Rail</t>
  </si>
  <si>
    <t>Sapa Extrusion #</t>
  </si>
  <si>
    <t>44083 &amp; 44084</t>
  </si>
  <si>
    <t>44080 &amp; 44082</t>
  </si>
  <si>
    <t>* Assembly labor hours are assumed and does not include saw or fab (20 minutes per frame kit, 40 minutes per panel). Actual to be determined based on manufacturing.</t>
  </si>
  <si>
    <t>Reinforced Sash, Jamb</t>
  </si>
  <si>
    <r>
      <t xml:space="preserve">CONNECTING ROD </t>
    </r>
    <r>
      <rPr>
        <b/>
        <u val="single"/>
        <sz val="10"/>
        <color indexed="8"/>
        <rFont val="Eras Medium ITC"/>
        <family val="2"/>
      </rPr>
      <t>03524</t>
    </r>
    <r>
      <rPr>
        <sz val="10"/>
        <color indexed="8"/>
        <rFont val="Eras Medium ITC"/>
        <family val="2"/>
      </rPr>
      <t xml:space="preserve"> (FT)</t>
    </r>
  </si>
  <si>
    <r>
      <t xml:space="preserve">LIFT / SLIDE GASKET </t>
    </r>
    <r>
      <rPr>
        <b/>
        <u val="single"/>
        <sz val="10"/>
        <color indexed="8"/>
        <rFont val="Eras Medium ITC"/>
        <family val="2"/>
      </rPr>
      <t>2970</t>
    </r>
    <r>
      <rPr>
        <sz val="10"/>
        <color indexed="8"/>
        <rFont val="Eras Medium ITC"/>
        <family val="2"/>
      </rPr>
      <t xml:space="preserve"> (FT)</t>
    </r>
  </si>
  <si>
    <r>
      <t xml:space="preserve">LOCKING KIT </t>
    </r>
    <r>
      <rPr>
        <b/>
        <u val="single"/>
        <sz val="10"/>
        <color indexed="8"/>
        <rFont val="Eras Medium ITC"/>
        <family val="2"/>
      </rPr>
      <t>02929</t>
    </r>
  </si>
  <si>
    <r>
      <t xml:space="preserve">PRIMA HANDLE </t>
    </r>
    <r>
      <rPr>
        <b/>
        <u val="single"/>
        <sz val="10"/>
        <color indexed="8"/>
        <rFont val="Eras Medium ITC"/>
        <family val="2"/>
      </rPr>
      <t>02908</t>
    </r>
  </si>
  <si>
    <r>
      <t xml:space="preserve">HANDLE DRIVE KIT </t>
    </r>
    <r>
      <rPr>
        <b/>
        <u val="single"/>
        <sz val="10"/>
        <color indexed="8"/>
        <rFont val="Eras Medium ITC"/>
        <family val="2"/>
      </rPr>
      <t>02897</t>
    </r>
  </si>
  <si>
    <r>
      <t xml:space="preserve">PLUG KIT T-REX </t>
    </r>
    <r>
      <rPr>
        <b/>
        <u val="single"/>
        <sz val="10"/>
        <color indexed="8"/>
        <rFont val="Eras Medium ITC"/>
        <family val="2"/>
      </rPr>
      <t>02888</t>
    </r>
  </si>
  <si>
    <r>
      <t xml:space="preserve">CONDENSATION CAPS (SET) </t>
    </r>
    <r>
      <rPr>
        <b/>
        <u val="single"/>
        <sz val="10"/>
        <color indexed="8"/>
        <rFont val="Eras Medium ITC"/>
        <family val="2"/>
      </rPr>
      <t>02938</t>
    </r>
  </si>
  <si>
    <r>
      <t xml:space="preserve">SASH ALIGNMENT GUSSET </t>
    </r>
    <r>
      <rPr>
        <b/>
        <u val="single"/>
        <sz val="10"/>
        <color indexed="8"/>
        <rFont val="Eras Medium ITC"/>
        <family val="2"/>
      </rPr>
      <t>02921</t>
    </r>
  </si>
  <si>
    <r>
      <t xml:space="preserve">SASH CORNER KEYS </t>
    </r>
    <r>
      <rPr>
        <b/>
        <u val="single"/>
        <sz val="10"/>
        <color indexed="8"/>
        <rFont val="Eras Medium ITC"/>
        <family val="2"/>
      </rPr>
      <t>02923N</t>
    </r>
  </si>
  <si>
    <r>
      <t xml:space="preserve">FRAME CORNER GUSSET </t>
    </r>
    <r>
      <rPr>
        <b/>
        <u val="single"/>
        <sz val="10"/>
        <color indexed="8"/>
        <rFont val="Eras Medium ITC"/>
        <family val="2"/>
      </rPr>
      <t>02922</t>
    </r>
  </si>
  <si>
    <r>
      <t xml:space="preserve">FRAME CORNER KEY </t>
    </r>
    <r>
      <rPr>
        <b/>
        <u val="single"/>
        <sz val="10"/>
        <color indexed="8"/>
        <rFont val="Eras Medium ITC"/>
        <family val="2"/>
      </rPr>
      <t>00336</t>
    </r>
  </si>
  <si>
    <r>
      <t xml:space="preserve">ANTI LIFT PLUG KIT </t>
    </r>
    <r>
      <rPr>
        <b/>
        <u val="single"/>
        <sz val="10"/>
        <color indexed="8"/>
        <rFont val="Eras Medium ITC"/>
        <family val="2"/>
      </rPr>
      <t>02939</t>
    </r>
  </si>
  <si>
    <r>
      <t xml:space="preserve">FIXED SASH KIT </t>
    </r>
    <r>
      <rPr>
        <b/>
        <u val="single"/>
        <sz val="10"/>
        <color indexed="8"/>
        <rFont val="Eras Medium ITC"/>
        <family val="2"/>
      </rPr>
      <t>02954005000GS</t>
    </r>
  </si>
  <si>
    <r>
      <t xml:space="preserve">INTERLOCK CLIP </t>
    </r>
    <r>
      <rPr>
        <b/>
        <u val="single"/>
        <sz val="10"/>
        <color indexed="8"/>
        <rFont val="Eras Medium ITC"/>
        <family val="2"/>
      </rPr>
      <t>02891500</t>
    </r>
  </si>
  <si>
    <r>
      <t xml:space="preserve">REINFORCEMENT PLUGS </t>
    </r>
    <r>
      <rPr>
        <b/>
        <u val="single"/>
        <sz val="10"/>
        <color indexed="8"/>
        <rFont val="Eras Medium ITC"/>
        <family val="2"/>
      </rPr>
      <t>02887000</t>
    </r>
  </si>
  <si>
    <r>
      <t xml:space="preserve">FIXED SASH DRIVE </t>
    </r>
    <r>
      <rPr>
        <b/>
        <u val="single"/>
        <sz val="10"/>
        <color indexed="8"/>
        <rFont val="Eras Medium ITC"/>
        <family val="2"/>
      </rPr>
      <t>02940</t>
    </r>
  </si>
  <si>
    <t xml:space="preserve">GLAZING GASKET (FT) </t>
  </si>
  <si>
    <t>Measurement from bottom of panel to C/L of handle</t>
  </si>
  <si>
    <t>Handle (in)</t>
  </si>
  <si>
    <t xml:space="preserve">GOS-S DOUBLE ROLLER PER HOUSING </t>
  </si>
  <si>
    <t>GOS-S DOUBLE ROLLER PER HOUSING</t>
  </si>
  <si>
    <r>
      <t xml:space="preserve">OPERABLE ANTI LIFT PLUG KIT </t>
    </r>
    <r>
      <rPr>
        <b/>
        <u val="single"/>
        <sz val="10"/>
        <color indexed="8"/>
        <rFont val="Eras Medium ITC"/>
        <family val="2"/>
      </rPr>
      <t>02939</t>
    </r>
  </si>
  <si>
    <r>
      <t xml:space="preserve">FIXED ANTI LIFT PLUG KIT </t>
    </r>
    <r>
      <rPr>
        <b/>
        <u val="single"/>
        <sz val="10"/>
        <color indexed="8"/>
        <rFont val="Eras Medium ITC"/>
        <family val="2"/>
      </rPr>
      <t>02933</t>
    </r>
  </si>
  <si>
    <t>DATE</t>
  </si>
  <si>
    <t>REVISION</t>
  </si>
  <si>
    <t>CHANGES</t>
  </si>
  <si>
    <t>REV 1</t>
  </si>
  <si>
    <t>REV 2</t>
  </si>
  <si>
    <t>ORIGINAL RELEASE</t>
  </si>
  <si>
    <t>GOSS LIFT AND SLIDE RELEASES</t>
  </si>
  <si>
    <t>ADDED OPTION TO LOCATE C/L OF HANDLE OR CREMONE</t>
  </si>
  <si>
    <t>CHANGED GASKET 02950 TO 02970 ALONG WITH COSTING</t>
  </si>
  <si>
    <t>MADE 02908 STANDARD HANDLE IN LIEU OF 02948</t>
  </si>
  <si>
    <t>ELIMINATED SMALL CONNECTING ROD "D" FOR HANDLE APPLICATION</t>
  </si>
  <si>
    <t>UNDERLINED AND BOLDED PART NUMBERS</t>
  </si>
  <si>
    <t>ADDED 02933 FIXED ANTI LIFT FOR XO OR OX CONFIG.</t>
  </si>
  <si>
    <t>ELIMINATED (1) 02939 ANTI LIFT (AT FIXED PANEL)</t>
  </si>
  <si>
    <t>INCLUDED RELEASE TAB</t>
  </si>
  <si>
    <t>REV 3</t>
  </si>
  <si>
    <t>ADDED 02970 QUANTITY FOR INTERLOCK</t>
  </si>
  <si>
    <t>REVISED LOCK QUANTITY 02929 TO 5 WHEN USED WITH 02897</t>
  </si>
  <si>
    <r>
      <t xml:space="preserve">PULLY ASSEMBLY (2 WHEEL) </t>
    </r>
    <r>
      <rPr>
        <b/>
        <u val="single"/>
        <sz val="10"/>
        <color indexed="8"/>
        <rFont val="Eras Medium ITC"/>
        <family val="2"/>
      </rPr>
      <t>03913</t>
    </r>
  </si>
  <si>
    <t>REV 4</t>
  </si>
  <si>
    <t>REVISED ROLLER PART NUMBERS TO 03913 &amp; 03916.</t>
  </si>
  <si>
    <t>H-47044 &amp; S-46232</t>
  </si>
  <si>
    <t>N/A &amp; 44080</t>
  </si>
  <si>
    <t>REV 5</t>
  </si>
  <si>
    <t>CORRECTED EXTRUDER NAMES</t>
  </si>
  <si>
    <t>(OO SHOWN)</t>
  </si>
  <si>
    <t>GOS-S T-110</t>
  </si>
  <si>
    <t>ADDED OO CONFIGURATION</t>
  </si>
  <si>
    <t>REV 6</t>
  </si>
  <si>
    <t>REV 7</t>
  </si>
  <si>
    <t>* Note: For smaller units with a panel width less than 31.5" and / or a weight less than 198 lbs, a single wheel pulley assembly may be substituted.  Replace pulley assembly 03913 with pulley assembly 03916 and add 9 7/16" to connecting rod "A" length.</t>
  </si>
  <si>
    <t>Finseal***</t>
  </si>
  <si>
    <t>CHANGED 03913 PRICING / ADDED FINSEAL #</t>
  </si>
  <si>
    <r>
      <t xml:space="preserve">FINSEAL </t>
    </r>
    <r>
      <rPr>
        <b/>
        <sz val="10"/>
        <color indexed="8"/>
        <rFont val="Eras Medium ITC"/>
        <family val="2"/>
      </rPr>
      <t>27025045GYG2</t>
    </r>
    <r>
      <rPr>
        <sz val="10"/>
        <color indexed="8"/>
        <rFont val="Eras Medium ITC"/>
        <family val="2"/>
      </rPr>
      <t xml:space="preserve"> (FT)</t>
    </r>
  </si>
  <si>
    <r>
      <t>FINSEAL</t>
    </r>
    <r>
      <rPr>
        <b/>
        <sz val="10"/>
        <color indexed="8"/>
        <rFont val="Eras Medium ITC"/>
        <family val="2"/>
      </rPr>
      <t xml:space="preserve"> 27025045GYG2</t>
    </r>
    <r>
      <rPr>
        <sz val="10"/>
        <color indexed="8"/>
        <rFont val="Eras Medium ITC"/>
        <family val="2"/>
      </rPr>
      <t xml:space="preserve"> (FT)</t>
    </r>
  </si>
  <si>
    <t>REV 8</t>
  </si>
  <si>
    <t>REV.8 6-28-2017</t>
  </si>
  <si>
    <t>CHANGED CONNECTING ROD C FORMULA (HM-399)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</si>
</sst>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\ ??/16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[$-409]dddd\,\ mmmm\ dd\,\ yyyy"/>
    <numFmt numFmtId="172" formatCode="[$-409]h:mm:ss\ AM/PM"/>
    <numFmt numFmtId="173" formatCode="&quot;$&quot;#,##0.00"/>
  </numFmts>
  <fonts count="55">
    <font>
      <sz val="11"/>
      <color theme="1"/>
      <name val="Eras Medium ITC"/>
      <family val="2"/>
    </font>
    <font>
      <sz val="11"/>
      <color indexed="8"/>
      <name val="Calibri"/>
      <family val="2"/>
    </font>
    <font>
      <sz val="10"/>
      <color indexed="8"/>
      <name val="Eras Medium ITC"/>
      <family val="2"/>
    </font>
    <font>
      <b/>
      <u val="single"/>
      <sz val="10"/>
      <color indexed="8"/>
      <name val="Eras Medium ITC"/>
      <family val="2"/>
    </font>
    <font>
      <b/>
      <sz val="10"/>
      <color indexed="8"/>
      <name val="Eras Medium ITC"/>
      <family val="2"/>
    </font>
    <font>
      <sz val="11"/>
      <color indexed="8"/>
      <name val="Eras Medium IT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Eras Medium ITC"/>
      <family val="2"/>
    </font>
    <font>
      <b/>
      <u val="single"/>
      <sz val="12"/>
      <color indexed="8"/>
      <name val="Eras Medium ITC"/>
      <family val="2"/>
    </font>
    <font>
      <sz val="12"/>
      <color indexed="8"/>
      <name val="Eras Medium ITC"/>
      <family val="2"/>
    </font>
    <font>
      <sz val="8"/>
      <color indexed="8"/>
      <name val="Eras Medium ITC"/>
      <family val="2"/>
    </font>
    <font>
      <i/>
      <u val="single"/>
      <sz val="10"/>
      <color indexed="8"/>
      <name val="Eras Medium ITC"/>
      <family val="2"/>
    </font>
    <font>
      <b/>
      <u val="single"/>
      <sz val="14"/>
      <color indexed="8"/>
      <name val="Eras Medium ITC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Eras Medium ITC"/>
      <family val="2"/>
    </font>
    <font>
      <b/>
      <u val="single"/>
      <sz val="10"/>
      <color theme="1"/>
      <name val="Eras Medium ITC"/>
      <family val="2"/>
    </font>
    <font>
      <b/>
      <sz val="10"/>
      <color theme="1"/>
      <name val="Eras Medium ITC"/>
      <family val="2"/>
    </font>
    <font>
      <b/>
      <sz val="11"/>
      <color theme="1"/>
      <name val="Eras Medium ITC"/>
      <family val="2"/>
    </font>
    <font>
      <b/>
      <u val="single"/>
      <sz val="12"/>
      <color theme="1"/>
      <name val="Eras Medium ITC"/>
      <family val="2"/>
    </font>
    <font>
      <i/>
      <u val="single"/>
      <sz val="10"/>
      <color theme="1"/>
      <name val="Eras Medium ITC"/>
      <family val="2"/>
    </font>
    <font>
      <sz val="8"/>
      <color theme="1"/>
      <name val="Eras Medium ITC"/>
      <family val="2"/>
    </font>
    <font>
      <sz val="12"/>
      <color theme="1"/>
      <name val="Eras Medium ITC"/>
      <family val="2"/>
    </font>
    <font>
      <b/>
      <u val="single"/>
      <sz val="14"/>
      <color theme="1"/>
      <name val="Eras Medium IT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0" fontId="46" fillId="0" borderId="11" xfId="0" applyFont="1" applyBorder="1" applyAlignment="1" applyProtection="1">
      <alignment/>
      <protection hidden="1"/>
    </xf>
    <xf numFmtId="0" fontId="46" fillId="0" borderId="12" xfId="0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/>
      <protection hidden="1"/>
    </xf>
    <xf numFmtId="13" fontId="46" fillId="0" borderId="10" xfId="0" applyNumberFormat="1" applyFont="1" applyBorder="1" applyAlignment="1" applyProtection="1">
      <alignment/>
      <protection hidden="1"/>
    </xf>
    <xf numFmtId="0" fontId="46" fillId="0" borderId="15" xfId="0" applyFont="1" applyBorder="1" applyAlignment="1" applyProtection="1">
      <alignment horizontal="center" wrapText="1"/>
      <protection hidden="1"/>
    </xf>
    <xf numFmtId="0" fontId="46" fillId="0" borderId="16" xfId="0" applyFont="1" applyBorder="1" applyAlignment="1" applyProtection="1">
      <alignment horizontal="center"/>
      <protection hidden="1"/>
    </xf>
    <xf numFmtId="0" fontId="46" fillId="0" borderId="16" xfId="0" applyFont="1" applyBorder="1" applyAlignment="1" applyProtection="1">
      <alignment/>
      <protection hidden="1"/>
    </xf>
    <xf numFmtId="0" fontId="46" fillId="0" borderId="16" xfId="0" applyFont="1" applyBorder="1" applyAlignment="1" applyProtection="1">
      <alignment horizontal="center" wrapText="1"/>
      <protection hidden="1"/>
    </xf>
    <xf numFmtId="0" fontId="46" fillId="0" borderId="17" xfId="0" applyFont="1" applyBorder="1" applyAlignment="1" applyProtection="1">
      <alignment horizontal="center" wrapText="1"/>
      <protection hidden="1"/>
    </xf>
    <xf numFmtId="0" fontId="46" fillId="0" borderId="18" xfId="0" applyFont="1" applyBorder="1" applyAlignment="1" applyProtection="1">
      <alignment horizontal="center" wrapText="1"/>
      <protection hidden="1"/>
    </xf>
    <xf numFmtId="0" fontId="46" fillId="0" borderId="10" xfId="0" applyFont="1" applyBorder="1" applyAlignment="1" applyProtection="1">
      <alignment horizontal="center"/>
      <protection hidden="1"/>
    </xf>
    <xf numFmtId="13" fontId="46" fillId="0" borderId="10" xfId="0" applyNumberFormat="1" applyFont="1" applyBorder="1" applyAlignment="1" applyProtection="1">
      <alignment horizontal="center"/>
      <protection hidden="1"/>
    </xf>
    <xf numFmtId="0" fontId="46" fillId="0" borderId="19" xfId="0" applyFont="1" applyBorder="1" applyAlignment="1" applyProtection="1">
      <alignment horizontal="center"/>
      <protection hidden="1"/>
    </xf>
    <xf numFmtId="0" fontId="46" fillId="0" borderId="10" xfId="0" applyFont="1" applyBorder="1" applyAlignment="1" applyProtection="1">
      <alignment horizontal="center" wrapText="1"/>
      <protection hidden="1"/>
    </xf>
    <xf numFmtId="2" fontId="46" fillId="33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46" fillId="0" borderId="10" xfId="0" applyFont="1" applyFill="1" applyBorder="1" applyAlignment="1" applyProtection="1">
      <alignment horizontal="center"/>
      <protection hidden="1"/>
    </xf>
    <xf numFmtId="2" fontId="46" fillId="0" borderId="20" xfId="0" applyNumberFormat="1" applyFont="1" applyFill="1" applyBorder="1" applyAlignment="1" applyProtection="1">
      <alignment horizontal="center"/>
      <protection hidden="1"/>
    </xf>
    <xf numFmtId="0" fontId="46" fillId="0" borderId="20" xfId="0" applyNumberFormat="1" applyFont="1" applyFill="1" applyBorder="1" applyAlignment="1" applyProtection="1">
      <alignment horizontal="center"/>
      <protection hidden="1"/>
    </xf>
    <xf numFmtId="0" fontId="46" fillId="33" borderId="21" xfId="0" applyFont="1" applyFill="1" applyBorder="1" applyAlignment="1" applyProtection="1">
      <alignment horizontal="center"/>
      <protection hidden="1"/>
    </xf>
    <xf numFmtId="0" fontId="46" fillId="0" borderId="10" xfId="0" applyNumberFormat="1" applyFont="1" applyFill="1" applyBorder="1" applyAlignment="1" applyProtection="1">
      <alignment horizontal="center" vertical="center"/>
      <protection hidden="1"/>
    </xf>
    <xf numFmtId="165" fontId="46" fillId="0" borderId="10" xfId="0" applyNumberFormat="1" applyFont="1" applyBorder="1" applyAlignment="1" applyProtection="1">
      <alignment horizontal="center"/>
      <protection hidden="1"/>
    </xf>
    <xf numFmtId="0" fontId="46" fillId="33" borderId="22" xfId="0" applyFont="1" applyFill="1" applyBorder="1" applyAlignment="1" applyProtection="1">
      <alignment horizontal="center"/>
      <protection hidden="1"/>
    </xf>
    <xf numFmtId="0" fontId="46" fillId="0" borderId="20" xfId="0" applyFont="1" applyBorder="1" applyAlignment="1" applyProtection="1">
      <alignment horizontal="center"/>
      <protection hidden="1"/>
    </xf>
    <xf numFmtId="13" fontId="46" fillId="33" borderId="22" xfId="0" applyNumberFormat="1" applyFont="1" applyFill="1" applyBorder="1" applyAlignment="1" applyProtection="1">
      <alignment horizontal="center"/>
      <protection hidden="1"/>
    </xf>
    <xf numFmtId="2" fontId="46" fillId="33" borderId="23" xfId="0" applyNumberFormat="1" applyFont="1" applyFill="1" applyBorder="1" applyAlignment="1" applyProtection="1">
      <alignment horizontal="center"/>
      <protection hidden="1"/>
    </xf>
    <xf numFmtId="13" fontId="46" fillId="33" borderId="10" xfId="0" applyNumberFormat="1" applyFont="1" applyFill="1" applyBorder="1" applyAlignment="1" applyProtection="1">
      <alignment horizontal="center"/>
      <protection hidden="1"/>
    </xf>
    <xf numFmtId="0" fontId="46" fillId="0" borderId="24" xfId="0" applyFont="1" applyBorder="1" applyAlignment="1" applyProtection="1">
      <alignment horizontal="center"/>
      <protection hidden="1"/>
    </xf>
    <xf numFmtId="0" fontId="46" fillId="0" borderId="25" xfId="0" applyFont="1" applyFill="1" applyBorder="1" applyAlignment="1" applyProtection="1">
      <alignment horizontal="center"/>
      <protection hidden="1"/>
    </xf>
    <xf numFmtId="0" fontId="46" fillId="0" borderId="25" xfId="0" applyFont="1" applyBorder="1" applyAlignment="1" applyProtection="1">
      <alignment horizontal="center"/>
      <protection hidden="1"/>
    </xf>
    <xf numFmtId="13" fontId="46" fillId="0" borderId="25" xfId="0" applyNumberFormat="1" applyFont="1" applyBorder="1" applyAlignment="1" applyProtection="1">
      <alignment horizontal="center"/>
      <protection hidden="1"/>
    </xf>
    <xf numFmtId="13" fontId="46" fillId="33" borderId="25" xfId="0" applyNumberFormat="1" applyFont="1" applyFill="1" applyBorder="1" applyAlignment="1" applyProtection="1">
      <alignment horizontal="center"/>
      <protection hidden="1"/>
    </xf>
    <xf numFmtId="2" fontId="46" fillId="33" borderId="25" xfId="0" applyNumberFormat="1" applyFont="1" applyFill="1" applyBorder="1" applyAlignment="1" applyProtection="1">
      <alignment horizontal="center"/>
      <protection hidden="1"/>
    </xf>
    <xf numFmtId="2" fontId="46" fillId="33" borderId="26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0" fontId="46" fillId="0" borderId="0" xfId="0" applyFont="1" applyAlignment="1" applyProtection="1">
      <alignment/>
      <protection hidden="1"/>
    </xf>
    <xf numFmtId="0" fontId="47" fillId="0" borderId="19" xfId="0" applyFont="1" applyBorder="1" applyAlignment="1" applyProtection="1">
      <alignment horizontal="center"/>
      <protection hidden="1"/>
    </xf>
    <xf numFmtId="0" fontId="47" fillId="0" borderId="10" xfId="0" applyFont="1" applyBorder="1" applyAlignment="1" applyProtection="1">
      <alignment horizontal="center"/>
      <protection hidden="1"/>
    </xf>
    <xf numFmtId="0" fontId="47" fillId="0" borderId="21" xfId="0" applyFont="1" applyBorder="1" applyAlignment="1" applyProtection="1">
      <alignment horizontal="center"/>
      <protection hidden="1"/>
    </xf>
    <xf numFmtId="0" fontId="47" fillId="0" borderId="10" xfId="0" applyFont="1" applyFill="1" applyBorder="1" applyAlignment="1" applyProtection="1">
      <alignment horizontal="center"/>
      <protection hidden="1"/>
    </xf>
    <xf numFmtId="2" fontId="46" fillId="0" borderId="10" xfId="0" applyNumberFormat="1" applyFont="1" applyBorder="1" applyAlignment="1" applyProtection="1">
      <alignment horizontal="center"/>
      <protection hidden="1"/>
    </xf>
    <xf numFmtId="173" fontId="46" fillId="0" borderId="21" xfId="0" applyNumberFormat="1" applyFont="1" applyBorder="1" applyAlignment="1" applyProtection="1">
      <alignment horizontal="center"/>
      <protection hidden="1"/>
    </xf>
    <xf numFmtId="173" fontId="0" fillId="0" borderId="21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173" fontId="0" fillId="0" borderId="27" xfId="0" applyNumberForma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173" fontId="0" fillId="0" borderId="0" xfId="0" applyNumberFormat="1" applyFont="1" applyFill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173" fontId="0" fillId="0" borderId="28" xfId="0" applyNumberFormat="1" applyBorder="1" applyAlignment="1" applyProtection="1">
      <alignment horizontal="center"/>
      <protection hidden="1"/>
    </xf>
    <xf numFmtId="0" fontId="46" fillId="0" borderId="29" xfId="0" applyFont="1" applyFill="1" applyBorder="1" applyAlignment="1" applyProtection="1">
      <alignment horizontal="center"/>
      <protection hidden="1"/>
    </xf>
    <xf numFmtId="0" fontId="46" fillId="0" borderId="30" xfId="0" applyFont="1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173" fontId="0" fillId="0" borderId="30" xfId="0" applyNumberFormat="1" applyFill="1" applyBorder="1" applyAlignment="1" applyProtection="1">
      <alignment horizontal="center"/>
      <protection hidden="1"/>
    </xf>
    <xf numFmtId="0" fontId="46" fillId="0" borderId="0" xfId="0" applyFont="1" applyAlignment="1" applyProtection="1">
      <alignment wrapText="1"/>
      <protection hidden="1"/>
    </xf>
    <xf numFmtId="0" fontId="48" fillId="0" borderId="31" xfId="0" applyFont="1" applyBorder="1" applyAlignment="1" applyProtection="1">
      <alignment horizontal="center"/>
      <protection hidden="1"/>
    </xf>
    <xf numFmtId="173" fontId="49" fillId="34" borderId="27" xfId="0" applyNumberFormat="1" applyFont="1" applyFill="1" applyBorder="1" applyAlignment="1" applyProtection="1">
      <alignment horizontal="center"/>
      <protection hidden="1"/>
    </xf>
    <xf numFmtId="2" fontId="46" fillId="0" borderId="13" xfId="0" applyNumberFormat="1" applyFont="1" applyBorder="1" applyAlignment="1" applyProtection="1">
      <alignment horizontal="center"/>
      <protection hidden="1"/>
    </xf>
    <xf numFmtId="2" fontId="46" fillId="0" borderId="25" xfId="0" applyNumberFormat="1" applyFont="1" applyBorder="1" applyAlignment="1" applyProtection="1">
      <alignment horizontal="center"/>
      <protection hidden="1"/>
    </xf>
    <xf numFmtId="173" fontId="46" fillId="0" borderId="27" xfId="0" applyNumberFormat="1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right"/>
      <protection hidden="1"/>
    </xf>
    <xf numFmtId="173" fontId="46" fillId="0" borderId="0" xfId="0" applyNumberFormat="1" applyFont="1" applyFill="1" applyAlignment="1" applyProtection="1">
      <alignment horizontal="center"/>
      <protection hidden="1"/>
    </xf>
    <xf numFmtId="0" fontId="46" fillId="35" borderId="10" xfId="0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 horizontal="center"/>
      <protection hidden="1"/>
    </xf>
    <xf numFmtId="13" fontId="46" fillId="0" borderId="0" xfId="0" applyNumberFormat="1" applyFont="1" applyBorder="1" applyAlignment="1" applyProtection="1">
      <alignment horizontal="center"/>
      <protection hidden="1"/>
    </xf>
    <xf numFmtId="13" fontId="46" fillId="35" borderId="10" xfId="0" applyNumberFormat="1" applyFont="1" applyFill="1" applyBorder="1" applyAlignment="1" applyProtection="1">
      <alignment/>
      <protection locked="0"/>
    </xf>
    <xf numFmtId="13" fontId="46" fillId="35" borderId="13" xfId="0" applyNumberFormat="1" applyFont="1" applyFill="1" applyBorder="1" applyAlignment="1" applyProtection="1">
      <alignment/>
      <protection locked="0"/>
    </xf>
    <xf numFmtId="0" fontId="46" fillId="0" borderId="15" xfId="0" applyFont="1" applyFill="1" applyBorder="1" applyAlignment="1" applyProtection="1">
      <alignment horizontal="center" wrapText="1"/>
      <protection hidden="1"/>
    </xf>
    <xf numFmtId="0" fontId="46" fillId="0" borderId="18" xfId="0" applyFont="1" applyFill="1" applyBorder="1" applyAlignment="1" applyProtection="1">
      <alignment horizontal="center" wrapText="1"/>
      <protection hidden="1"/>
    </xf>
    <xf numFmtId="0" fontId="46" fillId="0" borderId="0" xfId="0" applyFont="1" applyAlignment="1" applyProtection="1">
      <alignment horizontal="left" vertical="top" wrapText="1"/>
      <protection hidden="1"/>
    </xf>
    <xf numFmtId="0" fontId="46" fillId="0" borderId="0" xfId="0" applyFont="1" applyAlignment="1" applyProtection="1">
      <alignment horizontal="left" wrapText="1"/>
      <protection hidden="1"/>
    </xf>
    <xf numFmtId="0" fontId="46" fillId="0" borderId="13" xfId="0" applyFont="1" applyBorder="1" applyAlignment="1" applyProtection="1">
      <alignment horizontal="center"/>
      <protection hidden="1"/>
    </xf>
    <xf numFmtId="0" fontId="46" fillId="0" borderId="32" xfId="0" applyFont="1" applyBorder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center"/>
      <protection hidden="1"/>
    </xf>
    <xf numFmtId="173" fontId="0" fillId="0" borderId="0" xfId="0" applyNumberFormat="1" applyBorder="1" applyAlignment="1" applyProtection="1">
      <alignment horizontal="center"/>
      <protection hidden="1"/>
    </xf>
    <xf numFmtId="173" fontId="0" fillId="0" borderId="0" xfId="0" applyNumberFormat="1" applyFill="1" applyBorder="1" applyAlignment="1" applyProtection="1">
      <alignment horizontal="center"/>
      <protection hidden="1"/>
    </xf>
    <xf numFmtId="0" fontId="46" fillId="0" borderId="33" xfId="0" applyFont="1" applyFill="1" applyBorder="1" applyAlignment="1" applyProtection="1">
      <alignment horizontal="center" wrapText="1"/>
      <protection hidden="1"/>
    </xf>
    <xf numFmtId="0" fontId="46" fillId="33" borderId="19" xfId="0" applyFont="1" applyFill="1" applyBorder="1" applyAlignment="1" applyProtection="1">
      <alignment horizontal="center" vertical="center"/>
      <protection hidden="1"/>
    </xf>
    <xf numFmtId="0" fontId="46" fillId="33" borderId="19" xfId="0" applyFont="1" applyFill="1" applyBorder="1" applyAlignment="1" applyProtection="1">
      <alignment horizontal="center"/>
      <protection hidden="1"/>
    </xf>
    <xf numFmtId="173" fontId="49" fillId="0" borderId="0" xfId="0" applyNumberFormat="1" applyFont="1" applyFill="1" applyBorder="1" applyAlignment="1" applyProtection="1">
      <alignment horizontal="center"/>
      <protection hidden="1"/>
    </xf>
    <xf numFmtId="0" fontId="46" fillId="0" borderId="19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173" fontId="46" fillId="0" borderId="28" xfId="0" applyNumberFormat="1" applyFont="1" applyBorder="1" applyAlignment="1" applyProtection="1">
      <alignment horizontal="center"/>
      <protection hidden="1"/>
    </xf>
    <xf numFmtId="0" fontId="46" fillId="0" borderId="34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46" fillId="0" borderId="13" xfId="0" applyFont="1" applyFill="1" applyBorder="1" applyAlignment="1" applyProtection="1">
      <alignment horizontal="center"/>
      <protection hidden="1"/>
    </xf>
    <xf numFmtId="2" fontId="46" fillId="0" borderId="34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2" fontId="46" fillId="0" borderId="0" xfId="0" applyNumberFormat="1" applyFont="1" applyFill="1" applyBorder="1" applyAlignment="1" applyProtection="1">
      <alignment horizontal="right"/>
      <protection hidden="1"/>
    </xf>
    <xf numFmtId="2" fontId="46" fillId="33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46" fillId="0" borderId="13" xfId="0" applyFont="1" applyBorder="1" applyAlignment="1" applyProtection="1">
      <alignment horizontal="center"/>
      <protection hidden="1"/>
    </xf>
    <xf numFmtId="0" fontId="46" fillId="0" borderId="22" xfId="0" applyFont="1" applyBorder="1" applyAlignment="1" applyProtection="1">
      <alignment horizontal="center"/>
      <protection hidden="1"/>
    </xf>
    <xf numFmtId="0" fontId="46" fillId="0" borderId="32" xfId="0" applyFont="1" applyBorder="1" applyAlignment="1" applyProtection="1">
      <alignment horizontal="center"/>
      <protection hidden="1"/>
    </xf>
    <xf numFmtId="0" fontId="46" fillId="0" borderId="20" xfId="0" applyFont="1" applyFill="1" applyBorder="1" applyAlignment="1" applyProtection="1">
      <alignment horizontal="center"/>
      <protection hidden="1"/>
    </xf>
    <xf numFmtId="2" fontId="46" fillId="33" borderId="13" xfId="0" applyNumberFormat="1" applyFont="1" applyFill="1" applyBorder="1" applyAlignment="1" applyProtection="1">
      <alignment horizontal="center" vertical="center"/>
      <protection hidden="1"/>
    </xf>
    <xf numFmtId="2" fontId="46" fillId="33" borderId="35" xfId="0" applyNumberFormat="1" applyFont="1" applyFill="1" applyBorder="1" applyAlignment="1" applyProtection="1">
      <alignment horizontal="center" vertical="center"/>
      <protection hidden="1"/>
    </xf>
    <xf numFmtId="0" fontId="46" fillId="33" borderId="21" xfId="0" applyFont="1" applyFill="1" applyBorder="1" applyAlignment="1" applyProtection="1">
      <alignment horizontal="center" vertical="center"/>
      <protection hidden="1"/>
    </xf>
    <xf numFmtId="0" fontId="46" fillId="33" borderId="28" xfId="0" applyFont="1" applyFill="1" applyBorder="1" applyAlignment="1" applyProtection="1">
      <alignment horizontal="center" vertical="center"/>
      <protection hidden="1"/>
    </xf>
    <xf numFmtId="0" fontId="46" fillId="0" borderId="22" xfId="0" applyNumberFormat="1" applyFont="1" applyFill="1" applyBorder="1" applyAlignment="1" applyProtection="1">
      <alignment horizontal="center" vertical="center"/>
      <protection hidden="1"/>
    </xf>
    <xf numFmtId="0" fontId="46" fillId="33" borderId="3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46" fillId="0" borderId="36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21" xfId="0" applyFont="1" applyBorder="1" applyAlignment="1" applyProtection="1">
      <alignment horizontal="center" vertical="center"/>
      <protection hidden="1"/>
    </xf>
    <xf numFmtId="0" fontId="46" fillId="0" borderId="26" xfId="0" applyFont="1" applyBorder="1" applyAlignment="1" applyProtection="1">
      <alignment horizontal="center"/>
      <protection hidden="1"/>
    </xf>
    <xf numFmtId="0" fontId="46" fillId="0" borderId="27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46" fillId="0" borderId="32" xfId="0" applyFont="1" applyBorder="1" applyAlignment="1" applyProtection="1">
      <alignment horizontal="center"/>
      <protection hidden="1"/>
    </xf>
    <xf numFmtId="0" fontId="46" fillId="0" borderId="1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33" borderId="28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6" fillId="0" borderId="20" xfId="0" applyFont="1" applyFill="1" applyBorder="1" applyAlignment="1" applyProtection="1">
      <alignment horizontal="center"/>
      <protection hidden="1"/>
    </xf>
    <xf numFmtId="0" fontId="46" fillId="0" borderId="32" xfId="0" applyFont="1" applyBorder="1" applyAlignment="1" applyProtection="1">
      <alignment horizontal="center"/>
      <protection hidden="1"/>
    </xf>
    <xf numFmtId="0" fontId="46" fillId="0" borderId="13" xfId="0" applyFont="1" applyBorder="1" applyAlignment="1" applyProtection="1">
      <alignment horizontal="center"/>
      <protection hidden="1"/>
    </xf>
    <xf numFmtId="0" fontId="46" fillId="0" borderId="22" xfId="0" applyFont="1" applyBorder="1" applyAlignment="1" applyProtection="1">
      <alignment horizontal="center"/>
      <protection hidden="1"/>
    </xf>
    <xf numFmtId="2" fontId="46" fillId="33" borderId="13" xfId="0" applyNumberFormat="1" applyFont="1" applyFill="1" applyBorder="1" applyAlignment="1" applyProtection="1">
      <alignment horizontal="center" vertical="center"/>
      <protection hidden="1"/>
    </xf>
    <xf numFmtId="0" fontId="46" fillId="0" borderId="22" xfId="0" applyNumberFormat="1" applyFont="1" applyFill="1" applyBorder="1" applyAlignment="1" applyProtection="1">
      <alignment horizontal="center" vertical="center"/>
      <protection hidden="1"/>
    </xf>
    <xf numFmtId="0" fontId="46" fillId="33" borderId="21" xfId="0" applyFont="1" applyFill="1" applyBorder="1" applyAlignment="1" applyProtection="1">
      <alignment horizontal="center" vertical="center"/>
      <protection hidden="1"/>
    </xf>
    <xf numFmtId="0" fontId="46" fillId="0" borderId="21" xfId="0" applyFont="1" applyBorder="1" applyAlignment="1">
      <alignment horizontal="center" vertical="center"/>
    </xf>
    <xf numFmtId="0" fontId="46" fillId="33" borderId="32" xfId="0" applyFont="1" applyFill="1" applyBorder="1" applyAlignment="1" applyProtection="1">
      <alignment horizontal="center" vertical="center"/>
      <protection hidden="1"/>
    </xf>
    <xf numFmtId="0" fontId="46" fillId="0" borderId="36" xfId="0" applyFont="1" applyBorder="1" applyAlignment="1">
      <alignment horizontal="center" vertical="center"/>
    </xf>
    <xf numFmtId="2" fontId="46" fillId="33" borderId="35" xfId="0" applyNumberFormat="1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left" wrapText="1"/>
      <protection hidden="1"/>
    </xf>
    <xf numFmtId="0" fontId="46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48" fillId="0" borderId="0" xfId="0" applyFont="1" applyAlignment="1">
      <alignment vertical="top" wrapText="1"/>
    </xf>
    <xf numFmtId="2" fontId="46" fillId="0" borderId="10" xfId="0" applyNumberFormat="1" applyFont="1" applyFill="1" applyBorder="1" applyAlignment="1" applyProtection="1">
      <alignment horizontal="center"/>
      <protection locked="0"/>
    </xf>
    <xf numFmtId="14" fontId="0" fillId="0" borderId="24" xfId="0" applyNumberFormat="1" applyBorder="1" applyAlignment="1">
      <alignment horizontal="center" vertical="center"/>
    </xf>
    <xf numFmtId="0" fontId="46" fillId="0" borderId="32" xfId="0" applyFont="1" applyBorder="1" applyAlignment="1" applyProtection="1">
      <alignment horizontal="center"/>
      <protection hidden="1"/>
    </xf>
    <xf numFmtId="0" fontId="46" fillId="0" borderId="13" xfId="0" applyFont="1" applyBorder="1" applyAlignment="1" applyProtection="1">
      <alignment horizontal="center"/>
      <protection hidden="1"/>
    </xf>
    <xf numFmtId="173" fontId="46" fillId="0" borderId="21" xfId="0" applyNumberFormat="1" applyFont="1" applyFill="1" applyBorder="1" applyAlignment="1" applyProtection="1">
      <alignment horizontal="center"/>
      <protection hidden="1"/>
    </xf>
    <xf numFmtId="2" fontId="46" fillId="0" borderId="10" xfId="0" applyNumberFormat="1" applyFont="1" applyFill="1" applyBorder="1" applyAlignment="1" applyProtection="1">
      <alignment horizontal="center"/>
      <protection hidden="1"/>
    </xf>
    <xf numFmtId="2" fontId="46" fillId="0" borderId="13" xfId="0" applyNumberFormat="1" applyFont="1" applyFill="1" applyBorder="1" applyAlignment="1" applyProtection="1">
      <alignment horizontal="center"/>
      <protection hidden="1"/>
    </xf>
    <xf numFmtId="173" fontId="46" fillId="0" borderId="28" xfId="0" applyNumberFormat="1" applyFont="1" applyFill="1" applyBorder="1" applyAlignment="1" applyProtection="1">
      <alignment horizontal="center"/>
      <protection hidden="1"/>
    </xf>
    <xf numFmtId="2" fontId="46" fillId="0" borderId="25" xfId="0" applyNumberFormat="1" applyFont="1" applyFill="1" applyBorder="1" applyAlignment="1" applyProtection="1">
      <alignment horizontal="center"/>
      <protection hidden="1"/>
    </xf>
    <xf numFmtId="173" fontId="46" fillId="0" borderId="27" xfId="0" applyNumberFormat="1" applyFont="1" applyFill="1" applyBorder="1" applyAlignment="1" applyProtection="1">
      <alignment horizontal="center"/>
      <protection hidden="1"/>
    </xf>
    <xf numFmtId="0" fontId="47" fillId="0" borderId="36" xfId="0" applyFont="1" applyBorder="1" applyAlignment="1" applyProtection="1">
      <alignment horizontal="center"/>
      <protection hidden="1"/>
    </xf>
    <xf numFmtId="0" fontId="46" fillId="0" borderId="36" xfId="0" applyFont="1" applyBorder="1" applyAlignment="1" applyProtection="1">
      <alignment horizontal="center"/>
      <protection hidden="1"/>
    </xf>
    <xf numFmtId="0" fontId="46" fillId="0" borderId="31" xfId="0" applyFont="1" applyBorder="1" applyAlignment="1" applyProtection="1">
      <alignment horizontal="center"/>
      <protection hidden="1"/>
    </xf>
    <xf numFmtId="0" fontId="46" fillId="0" borderId="40" xfId="0" applyFont="1" applyBorder="1" applyAlignment="1" applyProtection="1">
      <alignment horizontal="center"/>
      <protection hidden="1"/>
    </xf>
    <xf numFmtId="0" fontId="47" fillId="0" borderId="15" xfId="0" applyFont="1" applyBorder="1" applyAlignment="1" applyProtection="1">
      <alignment horizontal="center"/>
      <protection hidden="1"/>
    </xf>
    <xf numFmtId="0" fontId="47" fillId="0" borderId="16" xfId="0" applyFont="1" applyBorder="1" applyAlignment="1" applyProtection="1">
      <alignment horizontal="center"/>
      <protection hidden="1"/>
    </xf>
    <xf numFmtId="0" fontId="47" fillId="0" borderId="16" xfId="0" applyFont="1" applyFill="1" applyBorder="1" applyAlignment="1" applyProtection="1">
      <alignment horizontal="center"/>
      <protection hidden="1"/>
    </xf>
    <xf numFmtId="0" fontId="47" fillId="0" borderId="18" xfId="0" applyFont="1" applyFill="1" applyBorder="1" applyAlignment="1" applyProtection="1">
      <alignment horizontal="center"/>
      <protection hidden="1"/>
    </xf>
    <xf numFmtId="0" fontId="0" fillId="0" borderId="21" xfId="0" applyBorder="1" applyAlignment="1">
      <alignment/>
    </xf>
    <xf numFmtId="0" fontId="46" fillId="0" borderId="27" xfId="0" applyFont="1" applyBorder="1" applyAlignment="1">
      <alignment/>
    </xf>
    <xf numFmtId="0" fontId="51" fillId="0" borderId="0" xfId="0" applyFont="1" applyAlignment="1" applyProtection="1">
      <alignment horizontal="center" vertical="center"/>
      <protection hidden="1"/>
    </xf>
    <xf numFmtId="0" fontId="46" fillId="0" borderId="1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13" xfId="0" applyFont="1" applyBorder="1" applyAlignment="1" applyProtection="1">
      <alignment horizontal="center" vertical="center"/>
      <protection hidden="1"/>
    </xf>
    <xf numFmtId="0" fontId="46" fillId="0" borderId="22" xfId="0" applyFont="1" applyBorder="1" applyAlignment="1" applyProtection="1">
      <alignment horizontal="center" vertical="center"/>
      <protection hidden="1"/>
    </xf>
    <xf numFmtId="13" fontId="46" fillId="0" borderId="13" xfId="0" applyNumberFormat="1" applyFont="1" applyBorder="1" applyAlignment="1" applyProtection="1">
      <alignment horizontal="center" vertical="center"/>
      <protection hidden="1"/>
    </xf>
    <xf numFmtId="13" fontId="46" fillId="0" borderId="22" xfId="0" applyNumberFormat="1" applyFont="1" applyBorder="1" applyAlignment="1" applyProtection="1">
      <alignment horizontal="center" vertical="center"/>
      <protection hidden="1"/>
    </xf>
    <xf numFmtId="2" fontId="46" fillId="0" borderId="13" xfId="0" applyNumberFormat="1" applyFont="1" applyBorder="1" applyAlignment="1" applyProtection="1">
      <alignment horizontal="center" vertical="center"/>
      <protection hidden="1"/>
    </xf>
    <xf numFmtId="2" fontId="46" fillId="0" borderId="22" xfId="0" applyNumberFormat="1" applyFont="1" applyBorder="1" applyAlignment="1" applyProtection="1">
      <alignment horizontal="center" vertical="center"/>
      <protection hidden="1"/>
    </xf>
    <xf numFmtId="0" fontId="46" fillId="33" borderId="32" xfId="0" applyFont="1" applyFill="1" applyBorder="1" applyAlignment="1" applyProtection="1">
      <alignment horizontal="center" vertical="center" wrapText="1"/>
      <protection hidden="1"/>
    </xf>
    <xf numFmtId="0" fontId="46" fillId="33" borderId="37" xfId="0" applyFont="1" applyFill="1" applyBorder="1" applyAlignment="1" applyProtection="1">
      <alignment horizontal="center" vertical="center" wrapText="1"/>
      <protection hidden="1"/>
    </xf>
    <xf numFmtId="0" fontId="46" fillId="33" borderId="28" xfId="0" applyFont="1" applyFill="1" applyBorder="1" applyAlignment="1" applyProtection="1">
      <alignment horizontal="center" vertical="center"/>
      <protection hidden="1"/>
    </xf>
    <xf numFmtId="0" fontId="46" fillId="33" borderId="41" xfId="0" applyFont="1" applyFill="1" applyBorder="1" applyAlignment="1" applyProtection="1">
      <alignment horizontal="center" vertical="center"/>
      <protection hidden="1"/>
    </xf>
    <xf numFmtId="0" fontId="46" fillId="0" borderId="32" xfId="0" applyFont="1" applyBorder="1" applyAlignment="1" applyProtection="1">
      <alignment horizontal="center" vertical="center"/>
      <protection hidden="1"/>
    </xf>
    <xf numFmtId="0" fontId="46" fillId="0" borderId="42" xfId="0" applyFont="1" applyBorder="1" applyAlignment="1" applyProtection="1">
      <alignment horizontal="center" vertical="center"/>
      <protection hidden="1"/>
    </xf>
    <xf numFmtId="0" fontId="46" fillId="0" borderId="37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6" fillId="0" borderId="20" xfId="0" applyFont="1" applyFill="1" applyBorder="1" applyAlignment="1" applyProtection="1">
      <alignment horizontal="center"/>
      <protection hidden="1"/>
    </xf>
    <xf numFmtId="0" fontId="46" fillId="0" borderId="36" xfId="0" applyFont="1" applyFill="1" applyBorder="1" applyAlignment="1" applyProtection="1">
      <alignment horizontal="center"/>
      <protection hidden="1"/>
    </xf>
    <xf numFmtId="0" fontId="52" fillId="0" borderId="0" xfId="0" applyFont="1" applyAlignment="1" applyProtection="1">
      <alignment horizontal="center"/>
      <protection hidden="1"/>
    </xf>
    <xf numFmtId="0" fontId="46" fillId="0" borderId="32" xfId="0" applyFont="1" applyBorder="1" applyAlignment="1" applyProtection="1">
      <alignment horizontal="center"/>
      <protection hidden="1"/>
    </xf>
    <xf numFmtId="0" fontId="46" fillId="0" borderId="37" xfId="0" applyFont="1" applyBorder="1" applyAlignment="1" applyProtection="1">
      <alignment horizontal="center"/>
      <protection hidden="1"/>
    </xf>
    <xf numFmtId="0" fontId="46" fillId="0" borderId="13" xfId="0" applyFont="1" applyBorder="1" applyAlignment="1" applyProtection="1">
      <alignment horizontal="center"/>
      <protection hidden="1"/>
    </xf>
    <xf numFmtId="0" fontId="46" fillId="0" borderId="22" xfId="0" applyFont="1" applyBorder="1" applyAlignment="1" applyProtection="1">
      <alignment horizontal="center"/>
      <protection hidden="1"/>
    </xf>
    <xf numFmtId="2" fontId="46" fillId="33" borderId="13" xfId="0" applyNumberFormat="1" applyFont="1" applyFill="1" applyBorder="1" applyAlignment="1" applyProtection="1">
      <alignment horizontal="center" vertical="center"/>
      <protection hidden="1"/>
    </xf>
    <xf numFmtId="2" fontId="46" fillId="0" borderId="13" xfId="0" applyNumberFormat="1" applyFont="1" applyFill="1" applyBorder="1" applyAlignment="1" applyProtection="1">
      <alignment horizontal="center" vertical="center"/>
      <protection hidden="1"/>
    </xf>
    <xf numFmtId="2" fontId="46" fillId="0" borderId="22" xfId="0" applyNumberFormat="1" applyFont="1" applyFill="1" applyBorder="1" applyAlignment="1" applyProtection="1">
      <alignment horizontal="center" vertical="center"/>
      <protection hidden="1"/>
    </xf>
    <xf numFmtId="0" fontId="46" fillId="0" borderId="13" xfId="0" applyNumberFormat="1" applyFont="1" applyFill="1" applyBorder="1" applyAlignment="1" applyProtection="1">
      <alignment horizontal="center" vertical="center"/>
      <protection hidden="1"/>
    </xf>
    <xf numFmtId="0" fontId="46" fillId="0" borderId="22" xfId="0" applyNumberFormat="1" applyFont="1" applyFill="1" applyBorder="1" applyAlignment="1" applyProtection="1">
      <alignment horizontal="center" vertical="center"/>
      <protection hidden="1"/>
    </xf>
    <xf numFmtId="0" fontId="46" fillId="33" borderId="21" xfId="0" applyFont="1" applyFill="1" applyBorder="1" applyAlignment="1" applyProtection="1">
      <alignment horizontal="center" vertical="center"/>
      <protection hidden="1"/>
    </xf>
    <xf numFmtId="0" fontId="46" fillId="0" borderId="40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33" borderId="32" xfId="0" applyFont="1" applyFill="1" applyBorder="1" applyAlignment="1" applyProtection="1">
      <alignment horizontal="center" vertical="center"/>
      <protection hidden="1"/>
    </xf>
    <xf numFmtId="0" fontId="46" fillId="33" borderId="37" xfId="0" applyFont="1" applyFill="1" applyBorder="1" applyAlignment="1" applyProtection="1">
      <alignment horizontal="center" vertical="center"/>
      <protection hidden="1"/>
    </xf>
    <xf numFmtId="0" fontId="46" fillId="0" borderId="36" xfId="0" applyFont="1" applyBorder="1" applyAlignment="1">
      <alignment horizontal="center" vertical="center"/>
    </xf>
    <xf numFmtId="0" fontId="46" fillId="0" borderId="13" xfId="0" applyFont="1" applyFill="1" applyBorder="1" applyAlignment="1" applyProtection="1">
      <alignment horizontal="center" vertical="center"/>
      <protection hidden="1"/>
    </xf>
    <xf numFmtId="0" fontId="46" fillId="0" borderId="22" xfId="0" applyFont="1" applyFill="1" applyBorder="1" applyAlignment="1" applyProtection="1">
      <alignment horizontal="center" vertical="center"/>
      <protection hidden="1"/>
    </xf>
    <xf numFmtId="0" fontId="46" fillId="0" borderId="35" xfId="0" applyFont="1" applyBorder="1" applyAlignment="1" applyProtection="1">
      <alignment horizontal="center"/>
      <protection hidden="1"/>
    </xf>
    <xf numFmtId="2" fontId="46" fillId="33" borderId="35" xfId="0" applyNumberFormat="1" applyFont="1" applyFill="1" applyBorder="1" applyAlignment="1" applyProtection="1">
      <alignment horizontal="center" vertical="center"/>
      <protection hidden="1"/>
    </xf>
    <xf numFmtId="2" fontId="46" fillId="33" borderId="22" xfId="0" applyNumberFormat="1" applyFont="1" applyFill="1" applyBorder="1" applyAlignment="1" applyProtection="1">
      <alignment horizontal="center" vertical="center"/>
      <protection hidden="1"/>
    </xf>
    <xf numFmtId="0" fontId="46" fillId="0" borderId="28" xfId="0" applyFont="1" applyBorder="1" applyAlignment="1" applyProtection="1">
      <alignment horizontal="center" vertical="center"/>
      <protection hidden="1"/>
    </xf>
    <xf numFmtId="0" fontId="46" fillId="0" borderId="44" xfId="0" applyFont="1" applyBorder="1" applyAlignment="1" applyProtection="1">
      <alignment horizontal="center" vertical="center"/>
      <protection hidden="1"/>
    </xf>
    <xf numFmtId="0" fontId="46" fillId="0" borderId="41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left" wrapText="1"/>
      <protection hidden="1"/>
    </xf>
    <xf numFmtId="0" fontId="46" fillId="0" borderId="0" xfId="0" applyFont="1" applyAlignment="1" applyProtection="1">
      <alignment horizontal="center"/>
      <protection hidden="1"/>
    </xf>
    <xf numFmtId="0" fontId="48" fillId="0" borderId="0" xfId="0" applyFont="1" applyAlignment="1">
      <alignment horizontal="left" vertical="top" wrapText="1"/>
    </xf>
    <xf numFmtId="0" fontId="50" fillId="0" borderId="29" xfId="0" applyFont="1" applyBorder="1" applyAlignment="1" applyProtection="1">
      <alignment horizontal="center" vertical="center"/>
      <protection hidden="1"/>
    </xf>
    <xf numFmtId="0" fontId="50" fillId="0" borderId="30" xfId="0" applyFont="1" applyBorder="1" applyAlignment="1" applyProtection="1">
      <alignment horizontal="center" vertical="center"/>
      <protection hidden="1"/>
    </xf>
    <xf numFmtId="0" fontId="50" fillId="0" borderId="45" xfId="0" applyFont="1" applyBorder="1" applyAlignment="1" applyProtection="1">
      <alignment horizontal="center" vertical="center"/>
      <protection hidden="1"/>
    </xf>
    <xf numFmtId="0" fontId="50" fillId="0" borderId="46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0" fillId="0" borderId="47" xfId="0" applyFont="1" applyBorder="1" applyAlignment="1" applyProtection="1">
      <alignment horizontal="center" vertical="center"/>
      <protection hidden="1"/>
    </xf>
    <xf numFmtId="0" fontId="50" fillId="0" borderId="48" xfId="0" applyFont="1" applyBorder="1" applyAlignment="1" applyProtection="1">
      <alignment horizontal="center" vertical="center"/>
      <protection hidden="1"/>
    </xf>
    <xf numFmtId="0" fontId="50" fillId="0" borderId="49" xfId="0" applyFont="1" applyBorder="1" applyAlignment="1" applyProtection="1">
      <alignment horizontal="center" vertical="center"/>
      <protection hidden="1"/>
    </xf>
    <xf numFmtId="0" fontId="50" fillId="0" borderId="50" xfId="0" applyFont="1" applyBorder="1" applyAlignment="1" applyProtection="1">
      <alignment horizontal="center" vertical="center"/>
      <protection hidden="1"/>
    </xf>
    <xf numFmtId="0" fontId="53" fillId="0" borderId="51" xfId="0" applyFont="1" applyBorder="1" applyAlignment="1" applyProtection="1">
      <alignment horizontal="center" vertical="center" textRotation="90" wrapText="1"/>
      <protection hidden="1"/>
    </xf>
    <xf numFmtId="0" fontId="53" fillId="0" borderId="52" xfId="0" applyFont="1" applyBorder="1" applyAlignment="1" applyProtection="1">
      <alignment horizontal="center" vertical="center" textRotation="90" wrapText="1"/>
      <protection hidden="1"/>
    </xf>
    <xf numFmtId="0" fontId="53" fillId="0" borderId="53" xfId="0" applyFont="1" applyBorder="1" applyAlignment="1" applyProtection="1">
      <alignment horizontal="center" vertical="center" textRotation="90" wrapText="1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3" fillId="0" borderId="51" xfId="0" applyFont="1" applyBorder="1" applyAlignment="1" applyProtection="1">
      <alignment horizontal="center" vertical="center" textRotation="90"/>
      <protection hidden="1"/>
    </xf>
    <xf numFmtId="0" fontId="53" fillId="0" borderId="52" xfId="0" applyFont="1" applyBorder="1" applyAlignment="1" applyProtection="1">
      <alignment horizontal="center" vertical="center" textRotation="90"/>
      <protection hidden="1"/>
    </xf>
    <xf numFmtId="0" fontId="53" fillId="0" borderId="53" xfId="0" applyFont="1" applyBorder="1" applyAlignment="1" applyProtection="1">
      <alignment horizontal="center" vertical="center" textRotation="90"/>
      <protection hidden="1"/>
    </xf>
    <xf numFmtId="0" fontId="48" fillId="0" borderId="54" xfId="0" applyFont="1" applyBorder="1" applyAlignment="1" applyProtection="1">
      <alignment horizontal="center"/>
      <protection hidden="1"/>
    </xf>
    <xf numFmtId="0" fontId="47" fillId="0" borderId="30" xfId="0" applyFont="1" applyBorder="1" applyAlignment="1" applyProtection="1">
      <alignment horizontal="center" vertical="center"/>
      <protection hidden="1"/>
    </xf>
    <xf numFmtId="0" fontId="47" fillId="0" borderId="45" xfId="0" applyFont="1" applyBorder="1" applyAlignment="1" applyProtection="1">
      <alignment horizontal="center" vertical="center"/>
      <protection hidden="1"/>
    </xf>
    <xf numFmtId="0" fontId="47" fillId="0" borderId="48" xfId="0" applyFont="1" applyBorder="1" applyAlignment="1" applyProtection="1">
      <alignment horizontal="center" vertical="center"/>
      <protection hidden="1"/>
    </xf>
    <xf numFmtId="0" fontId="47" fillId="0" borderId="49" xfId="0" applyFont="1" applyBorder="1" applyAlignment="1" applyProtection="1">
      <alignment horizontal="center" vertical="center"/>
      <protection hidden="1"/>
    </xf>
    <xf numFmtId="0" fontId="47" fillId="0" borderId="50" xfId="0" applyFont="1" applyBorder="1" applyAlignment="1" applyProtection="1">
      <alignment horizontal="center" vertical="center"/>
      <protection hidden="1"/>
    </xf>
    <xf numFmtId="0" fontId="46" fillId="0" borderId="46" xfId="0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>
      <alignment/>
    </xf>
    <xf numFmtId="0" fontId="48" fillId="0" borderId="55" xfId="0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59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48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2.jpeg" /><Relationship Id="rId15" Type="http://schemas.openxmlformats.org/officeDocument/2006/relationships/image" Target="../media/image16.png" /><Relationship Id="rId16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2.jpeg" /><Relationship Id="rId15" Type="http://schemas.openxmlformats.org/officeDocument/2006/relationships/image" Target="../media/image16.png" /><Relationship Id="rId16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2.jpeg" /><Relationship Id="rId15" Type="http://schemas.openxmlformats.org/officeDocument/2006/relationships/image" Target="../media/image16.png" /><Relationship Id="rId16" Type="http://schemas.openxmlformats.org/officeDocument/2006/relationships/image" Target="../media/image17.emf" /><Relationship Id="rId17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3</xdr:col>
      <xdr:colOff>457200</xdr:colOff>
      <xdr:row>15</xdr:row>
      <xdr:rowOff>295275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0"/>
          <a:ext cx="40290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19</xdr:row>
      <xdr:rowOff>171450</xdr:rowOff>
    </xdr:from>
    <xdr:to>
      <xdr:col>2</xdr:col>
      <xdr:colOff>895350</xdr:colOff>
      <xdr:row>20</xdr:row>
      <xdr:rowOff>209550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438150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21</xdr:row>
      <xdr:rowOff>9525</xdr:rowOff>
    </xdr:from>
    <xdr:to>
      <xdr:col>2</xdr:col>
      <xdr:colOff>571500</xdr:colOff>
      <xdr:row>21</xdr:row>
      <xdr:rowOff>447675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4829175"/>
          <a:ext cx="257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22</xdr:row>
      <xdr:rowOff>38100</xdr:rowOff>
    </xdr:from>
    <xdr:to>
      <xdr:col>2</xdr:col>
      <xdr:colOff>523875</xdr:colOff>
      <xdr:row>23</xdr:row>
      <xdr:rowOff>19050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5334000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23</xdr:row>
      <xdr:rowOff>38100</xdr:rowOff>
    </xdr:from>
    <xdr:to>
      <xdr:col>2</xdr:col>
      <xdr:colOff>514350</xdr:colOff>
      <xdr:row>23</xdr:row>
      <xdr:rowOff>285750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90850" y="5676900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30</xdr:row>
      <xdr:rowOff>47625</xdr:rowOff>
    </xdr:from>
    <xdr:to>
      <xdr:col>2</xdr:col>
      <xdr:colOff>895350</xdr:colOff>
      <xdr:row>30</xdr:row>
      <xdr:rowOff>266700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7762875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31</xdr:row>
      <xdr:rowOff>19050</xdr:rowOff>
    </xdr:from>
    <xdr:to>
      <xdr:col>2</xdr:col>
      <xdr:colOff>895350</xdr:colOff>
      <xdr:row>31</xdr:row>
      <xdr:rowOff>323850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8048625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32</xdr:row>
      <xdr:rowOff>171450</xdr:rowOff>
    </xdr:from>
    <xdr:to>
      <xdr:col>2</xdr:col>
      <xdr:colOff>647700</xdr:colOff>
      <xdr:row>33</xdr:row>
      <xdr:rowOff>133350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8553450"/>
          <a:ext cx="485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24</xdr:row>
      <xdr:rowOff>57150</xdr:rowOff>
    </xdr:from>
    <xdr:to>
      <xdr:col>2</xdr:col>
      <xdr:colOff>590550</xdr:colOff>
      <xdr:row>25</xdr:row>
      <xdr:rowOff>228600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38475" y="6048375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28</xdr:row>
      <xdr:rowOff>85725</xdr:rowOff>
    </xdr:from>
    <xdr:to>
      <xdr:col>2</xdr:col>
      <xdr:colOff>533400</xdr:colOff>
      <xdr:row>29</xdr:row>
      <xdr:rowOff>257175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62300" y="7191375"/>
          <a:ext cx="209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47625</xdr:rowOff>
    </xdr:from>
    <xdr:to>
      <xdr:col>2</xdr:col>
      <xdr:colOff>638175</xdr:colOff>
      <xdr:row>40</xdr:row>
      <xdr:rowOff>381000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52775" y="106584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41</xdr:row>
      <xdr:rowOff>9525</xdr:rowOff>
    </xdr:from>
    <xdr:to>
      <xdr:col>2</xdr:col>
      <xdr:colOff>571500</xdr:colOff>
      <xdr:row>41</xdr:row>
      <xdr:rowOff>409575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05150" y="11001375"/>
          <a:ext cx="304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42</xdr:row>
      <xdr:rowOff>19050</xdr:rowOff>
    </xdr:from>
    <xdr:to>
      <xdr:col>2</xdr:col>
      <xdr:colOff>619125</xdr:colOff>
      <xdr:row>42</xdr:row>
      <xdr:rowOff>400050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05150" y="114204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5</xdr:row>
      <xdr:rowOff>95250</xdr:rowOff>
    </xdr:from>
    <xdr:to>
      <xdr:col>1</xdr:col>
      <xdr:colOff>504825</xdr:colOff>
      <xdr:row>8</xdr:row>
      <xdr:rowOff>47625</xdr:rowOff>
    </xdr:to>
    <xdr:sp>
      <xdr:nvSpPr>
        <xdr:cNvPr id="14" name="Rectangle 14"/>
        <xdr:cNvSpPr>
          <a:spLocks/>
        </xdr:cNvSpPr>
      </xdr:nvSpPr>
      <xdr:spPr>
        <a:xfrm>
          <a:off x="990600" y="1047750"/>
          <a:ext cx="38100" cy="523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19050</xdr:rowOff>
    </xdr:from>
    <xdr:to>
      <xdr:col>1</xdr:col>
      <xdr:colOff>504825</xdr:colOff>
      <xdr:row>11</xdr:row>
      <xdr:rowOff>161925</xdr:rowOff>
    </xdr:to>
    <xdr:sp>
      <xdr:nvSpPr>
        <xdr:cNvPr id="15" name="Rectangle 16"/>
        <xdr:cNvSpPr>
          <a:spLocks/>
        </xdr:cNvSpPr>
      </xdr:nvSpPr>
      <xdr:spPr>
        <a:xfrm>
          <a:off x="990600" y="1924050"/>
          <a:ext cx="38100" cy="3333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76200</xdr:rowOff>
    </xdr:from>
    <xdr:to>
      <xdr:col>1</xdr:col>
      <xdr:colOff>504825</xdr:colOff>
      <xdr:row>13</xdr:row>
      <xdr:rowOff>123825</xdr:rowOff>
    </xdr:to>
    <xdr:sp>
      <xdr:nvSpPr>
        <xdr:cNvPr id="16" name="Rectangle 17"/>
        <xdr:cNvSpPr>
          <a:spLocks/>
        </xdr:cNvSpPr>
      </xdr:nvSpPr>
      <xdr:spPr>
        <a:xfrm>
          <a:off x="990600" y="2362200"/>
          <a:ext cx="38100" cy="2381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3</xdr:col>
      <xdr:colOff>57150</xdr:colOff>
      <xdr:row>8</xdr:row>
      <xdr:rowOff>28575</xdr:rowOff>
    </xdr:to>
    <xdr:sp>
      <xdr:nvSpPr>
        <xdr:cNvPr id="17" name="Rectangle 18"/>
        <xdr:cNvSpPr>
          <a:spLocks/>
        </xdr:cNvSpPr>
      </xdr:nvSpPr>
      <xdr:spPr>
        <a:xfrm>
          <a:off x="3733800" y="1019175"/>
          <a:ext cx="57150" cy="533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133350</xdr:rowOff>
    </xdr:from>
    <xdr:to>
      <xdr:col>3</xdr:col>
      <xdr:colOff>57150</xdr:colOff>
      <xdr:row>9</xdr:row>
      <xdr:rowOff>85725</xdr:rowOff>
    </xdr:to>
    <xdr:sp>
      <xdr:nvSpPr>
        <xdr:cNvPr id="18" name="Rectangle 19"/>
        <xdr:cNvSpPr>
          <a:spLocks/>
        </xdr:cNvSpPr>
      </xdr:nvSpPr>
      <xdr:spPr>
        <a:xfrm>
          <a:off x="3733800" y="1657350"/>
          <a:ext cx="57150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57150</xdr:colOff>
      <xdr:row>11</xdr:row>
      <xdr:rowOff>171450</xdr:rowOff>
    </xdr:to>
    <xdr:sp>
      <xdr:nvSpPr>
        <xdr:cNvPr id="19" name="Rectangle 20"/>
        <xdr:cNvSpPr>
          <a:spLocks/>
        </xdr:cNvSpPr>
      </xdr:nvSpPr>
      <xdr:spPr>
        <a:xfrm>
          <a:off x="3733800" y="1924050"/>
          <a:ext cx="57150" cy="3429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57150</xdr:colOff>
      <xdr:row>13</xdr:row>
      <xdr:rowOff>161925</xdr:rowOff>
    </xdr:to>
    <xdr:sp>
      <xdr:nvSpPr>
        <xdr:cNvPr id="20" name="Rectangle 21"/>
        <xdr:cNvSpPr>
          <a:spLocks/>
        </xdr:cNvSpPr>
      </xdr:nvSpPr>
      <xdr:spPr>
        <a:xfrm>
          <a:off x="3733800" y="2371725"/>
          <a:ext cx="57150" cy="2667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1</xdr:col>
      <xdr:colOff>990600</xdr:colOff>
      <xdr:row>15</xdr:row>
      <xdr:rowOff>38100</xdr:rowOff>
    </xdr:from>
    <xdr:to>
      <xdr:col>1</xdr:col>
      <xdr:colOff>1276350</xdr:colOff>
      <xdr:row>15</xdr:row>
      <xdr:rowOff>85725</xdr:rowOff>
    </xdr:to>
    <xdr:sp>
      <xdr:nvSpPr>
        <xdr:cNvPr id="21" name="Rectangle 22"/>
        <xdr:cNvSpPr>
          <a:spLocks/>
        </xdr:cNvSpPr>
      </xdr:nvSpPr>
      <xdr:spPr>
        <a:xfrm>
          <a:off x="1524000" y="2895600"/>
          <a:ext cx="2857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oneCellAnchor>
    <xdr:from>
      <xdr:col>1</xdr:col>
      <xdr:colOff>933450</xdr:colOff>
      <xdr:row>14</xdr:row>
      <xdr:rowOff>0</xdr:rowOff>
    </xdr:from>
    <xdr:ext cx="419100" cy="180975"/>
    <xdr:sp>
      <xdr:nvSpPr>
        <xdr:cNvPr id="22" name="TextBox 23"/>
        <xdr:cNvSpPr txBox="1">
          <a:spLocks noChangeArrowheads="1"/>
        </xdr:cNvSpPr>
      </xdr:nvSpPr>
      <xdr:spPr>
        <a:xfrm>
          <a:off x="1466850" y="2667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CR-A</a:t>
          </a:r>
        </a:p>
      </xdr:txBody>
    </xdr:sp>
    <xdr:clientData/>
  </xdr:oneCellAnchor>
  <xdr:oneCellAnchor>
    <xdr:from>
      <xdr:col>1</xdr:col>
      <xdr:colOff>523875</xdr:colOff>
      <xdr:row>12</xdr:row>
      <xdr:rowOff>95250</xdr:rowOff>
    </xdr:from>
    <xdr:ext cx="457200" cy="238125"/>
    <xdr:sp>
      <xdr:nvSpPr>
        <xdr:cNvPr id="23" name="TextBox 24"/>
        <xdr:cNvSpPr txBox="1">
          <a:spLocks noChangeArrowheads="1"/>
        </xdr:cNvSpPr>
      </xdr:nvSpPr>
      <xdr:spPr>
        <a:xfrm>
          <a:off x="1057275" y="2381250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CR-B</a:t>
          </a:r>
        </a:p>
      </xdr:txBody>
    </xdr:sp>
    <xdr:clientData/>
  </xdr:oneCellAnchor>
  <xdr:oneCellAnchor>
    <xdr:from>
      <xdr:col>1</xdr:col>
      <xdr:colOff>514350</xdr:colOff>
      <xdr:row>10</xdr:row>
      <xdr:rowOff>95250</xdr:rowOff>
    </xdr:from>
    <xdr:ext cx="533400" cy="247650"/>
    <xdr:sp>
      <xdr:nvSpPr>
        <xdr:cNvPr id="24" name="TextBox 25"/>
        <xdr:cNvSpPr txBox="1">
          <a:spLocks noChangeArrowheads="1"/>
        </xdr:cNvSpPr>
      </xdr:nvSpPr>
      <xdr:spPr>
        <a:xfrm>
          <a:off x="1047750" y="200025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CR-C</a:t>
          </a:r>
        </a:p>
      </xdr:txBody>
    </xdr:sp>
    <xdr:clientData/>
  </xdr:oneCellAnchor>
  <xdr:oneCellAnchor>
    <xdr:from>
      <xdr:col>1</xdr:col>
      <xdr:colOff>504825</xdr:colOff>
      <xdr:row>8</xdr:row>
      <xdr:rowOff>104775</xdr:rowOff>
    </xdr:from>
    <xdr:ext cx="266700" cy="276225"/>
    <xdr:sp fLocksText="0">
      <xdr:nvSpPr>
        <xdr:cNvPr id="25" name="TextBox 26"/>
        <xdr:cNvSpPr txBox="1">
          <a:spLocks noChangeArrowheads="1"/>
        </xdr:cNvSpPr>
      </xdr:nvSpPr>
      <xdr:spPr>
        <a:xfrm>
          <a:off x="1038225" y="162877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oneCellAnchor>
  <xdr:oneCellAnchor>
    <xdr:from>
      <xdr:col>1</xdr:col>
      <xdr:colOff>514350</xdr:colOff>
      <xdr:row>6</xdr:row>
      <xdr:rowOff>76200</xdr:rowOff>
    </xdr:from>
    <xdr:ext cx="552450" cy="238125"/>
    <xdr:sp>
      <xdr:nvSpPr>
        <xdr:cNvPr id="26" name="TextBox 27"/>
        <xdr:cNvSpPr txBox="1">
          <a:spLocks noChangeArrowheads="1"/>
        </xdr:cNvSpPr>
      </xdr:nvSpPr>
      <xdr:spPr>
        <a:xfrm>
          <a:off x="1047750" y="12192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CR-E</a:t>
          </a:r>
        </a:p>
      </xdr:txBody>
    </xdr:sp>
    <xdr:clientData/>
  </xdr:oneCellAnchor>
  <xdr:oneCellAnchor>
    <xdr:from>
      <xdr:col>2</xdr:col>
      <xdr:colOff>457200</xdr:colOff>
      <xdr:row>6</xdr:row>
      <xdr:rowOff>28575</xdr:rowOff>
    </xdr:from>
    <xdr:ext cx="438150" cy="228600"/>
    <xdr:sp>
      <xdr:nvSpPr>
        <xdr:cNvPr id="27" name="TextBox 28"/>
        <xdr:cNvSpPr txBox="1">
          <a:spLocks noChangeArrowheads="1"/>
        </xdr:cNvSpPr>
      </xdr:nvSpPr>
      <xdr:spPr>
        <a:xfrm>
          <a:off x="3295650" y="11715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CR-E</a:t>
          </a:r>
        </a:p>
      </xdr:txBody>
    </xdr:sp>
    <xdr:clientData/>
  </xdr:oneCellAnchor>
  <xdr:oneCellAnchor>
    <xdr:from>
      <xdr:col>2</xdr:col>
      <xdr:colOff>485775</xdr:colOff>
      <xdr:row>8</xdr:row>
      <xdr:rowOff>133350</xdr:rowOff>
    </xdr:from>
    <xdr:ext cx="409575" cy="228600"/>
    <xdr:sp>
      <xdr:nvSpPr>
        <xdr:cNvPr id="28" name="TextBox 29"/>
        <xdr:cNvSpPr txBox="1">
          <a:spLocks noChangeArrowheads="1"/>
        </xdr:cNvSpPr>
      </xdr:nvSpPr>
      <xdr:spPr>
        <a:xfrm>
          <a:off x="3324225" y="165735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CR-D </a:t>
          </a:r>
        </a:p>
      </xdr:txBody>
    </xdr:sp>
    <xdr:clientData/>
  </xdr:oneCellAnchor>
  <xdr:oneCellAnchor>
    <xdr:from>
      <xdr:col>2</xdr:col>
      <xdr:colOff>504825</xdr:colOff>
      <xdr:row>10</xdr:row>
      <xdr:rowOff>95250</xdr:rowOff>
    </xdr:from>
    <xdr:ext cx="390525" cy="247650"/>
    <xdr:sp>
      <xdr:nvSpPr>
        <xdr:cNvPr id="29" name="TextBox 30"/>
        <xdr:cNvSpPr txBox="1">
          <a:spLocks noChangeArrowheads="1"/>
        </xdr:cNvSpPr>
      </xdr:nvSpPr>
      <xdr:spPr>
        <a:xfrm>
          <a:off x="3343275" y="200025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CR-C</a:t>
          </a:r>
        </a:p>
      </xdr:txBody>
    </xdr:sp>
    <xdr:clientData/>
  </xdr:oneCellAnchor>
  <xdr:oneCellAnchor>
    <xdr:from>
      <xdr:col>2</xdr:col>
      <xdr:colOff>504825</xdr:colOff>
      <xdr:row>12</xdr:row>
      <xdr:rowOff>133350</xdr:rowOff>
    </xdr:from>
    <xdr:ext cx="390525" cy="228600"/>
    <xdr:sp>
      <xdr:nvSpPr>
        <xdr:cNvPr id="30" name="TextBox 31"/>
        <xdr:cNvSpPr txBox="1">
          <a:spLocks noChangeArrowheads="1"/>
        </xdr:cNvSpPr>
      </xdr:nvSpPr>
      <xdr:spPr>
        <a:xfrm>
          <a:off x="3343275" y="241935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CR-B</a:t>
          </a:r>
        </a:p>
      </xdr:txBody>
    </xdr:sp>
    <xdr:clientData/>
  </xdr:oneCellAnchor>
  <xdr:twoCellAnchor>
    <xdr:from>
      <xdr:col>2</xdr:col>
      <xdr:colOff>76200</xdr:colOff>
      <xdr:row>36</xdr:row>
      <xdr:rowOff>133350</xdr:rowOff>
    </xdr:from>
    <xdr:to>
      <xdr:col>2</xdr:col>
      <xdr:colOff>790575</xdr:colOff>
      <xdr:row>37</xdr:row>
      <xdr:rowOff>152400</xdr:rowOff>
    </xdr:to>
    <xdr:pic>
      <xdr:nvPicPr>
        <xdr:cNvPr id="31" name="Picture 1" descr="image00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14650" y="9601200"/>
          <a:ext cx="714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4</xdr:row>
      <xdr:rowOff>133350</xdr:rowOff>
    </xdr:from>
    <xdr:to>
      <xdr:col>1</xdr:col>
      <xdr:colOff>1514475</xdr:colOff>
      <xdr:row>4</xdr:row>
      <xdr:rowOff>180975</xdr:rowOff>
    </xdr:to>
    <xdr:sp>
      <xdr:nvSpPr>
        <xdr:cNvPr id="32" name="Rectangle 33"/>
        <xdr:cNvSpPr>
          <a:spLocks/>
        </xdr:cNvSpPr>
      </xdr:nvSpPr>
      <xdr:spPr>
        <a:xfrm>
          <a:off x="1304925" y="895350"/>
          <a:ext cx="7429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1</xdr:col>
      <xdr:colOff>2152650</xdr:colOff>
      <xdr:row>4</xdr:row>
      <xdr:rowOff>133350</xdr:rowOff>
    </xdr:from>
    <xdr:to>
      <xdr:col>2</xdr:col>
      <xdr:colOff>590550</xdr:colOff>
      <xdr:row>4</xdr:row>
      <xdr:rowOff>180975</xdr:rowOff>
    </xdr:to>
    <xdr:sp>
      <xdr:nvSpPr>
        <xdr:cNvPr id="33" name="Rectangle 34"/>
        <xdr:cNvSpPr>
          <a:spLocks/>
        </xdr:cNvSpPr>
      </xdr:nvSpPr>
      <xdr:spPr>
        <a:xfrm>
          <a:off x="2686050" y="895350"/>
          <a:ext cx="7429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oneCellAnchor>
    <xdr:from>
      <xdr:col>1</xdr:col>
      <xdr:colOff>885825</xdr:colOff>
      <xdr:row>5</xdr:row>
      <xdr:rowOff>19050</xdr:rowOff>
    </xdr:from>
    <xdr:ext cx="495300" cy="200025"/>
    <xdr:sp>
      <xdr:nvSpPr>
        <xdr:cNvPr id="34" name="TextBox 35"/>
        <xdr:cNvSpPr txBox="1">
          <a:spLocks noChangeArrowheads="1"/>
        </xdr:cNvSpPr>
      </xdr:nvSpPr>
      <xdr:spPr>
        <a:xfrm>
          <a:off x="1419225" y="9715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CR-E1</a:t>
          </a:r>
        </a:p>
      </xdr:txBody>
    </xdr:sp>
    <xdr:clientData/>
  </xdr:oneCellAnchor>
  <xdr:twoCellAnchor editAs="oneCell">
    <xdr:from>
      <xdr:col>1</xdr:col>
      <xdr:colOff>2295525</xdr:colOff>
      <xdr:row>5</xdr:row>
      <xdr:rowOff>19050</xdr:rowOff>
    </xdr:from>
    <xdr:to>
      <xdr:col>2</xdr:col>
      <xdr:colOff>381000</xdr:colOff>
      <xdr:row>5</xdr:row>
      <xdr:rowOff>190500</xdr:rowOff>
    </xdr:to>
    <xdr:pic>
      <xdr:nvPicPr>
        <xdr:cNvPr id="35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28925" y="97155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25</xdr:row>
      <xdr:rowOff>190500</xdr:rowOff>
    </xdr:from>
    <xdr:to>
      <xdr:col>4</xdr:col>
      <xdr:colOff>66675</xdr:colOff>
      <xdr:row>29</xdr:row>
      <xdr:rowOff>114300</xdr:rowOff>
    </xdr:to>
    <xdr:pic>
      <xdr:nvPicPr>
        <xdr:cNvPr id="36" name="Picture 34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71700" y="6477000"/>
          <a:ext cx="2609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3</xdr:col>
      <xdr:colOff>457200</xdr:colOff>
      <xdr:row>17</xdr:row>
      <xdr:rowOff>57150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0"/>
          <a:ext cx="40290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19</xdr:row>
      <xdr:rowOff>123825</xdr:rowOff>
    </xdr:from>
    <xdr:to>
      <xdr:col>2</xdr:col>
      <xdr:colOff>876300</xdr:colOff>
      <xdr:row>20</xdr:row>
      <xdr:rowOff>171450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4248150"/>
          <a:ext cx="809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21</xdr:row>
      <xdr:rowOff>19050</xdr:rowOff>
    </xdr:from>
    <xdr:to>
      <xdr:col>2</xdr:col>
      <xdr:colOff>552450</xdr:colOff>
      <xdr:row>21</xdr:row>
      <xdr:rowOff>457200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4752975"/>
          <a:ext cx="247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22</xdr:row>
      <xdr:rowOff>28575</xdr:rowOff>
    </xdr:from>
    <xdr:to>
      <xdr:col>2</xdr:col>
      <xdr:colOff>590550</xdr:colOff>
      <xdr:row>23</xdr:row>
      <xdr:rowOff>28575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5238750"/>
          <a:ext cx="219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23</xdr:row>
      <xdr:rowOff>38100</xdr:rowOff>
    </xdr:from>
    <xdr:to>
      <xdr:col>2</xdr:col>
      <xdr:colOff>581025</xdr:colOff>
      <xdr:row>23</xdr:row>
      <xdr:rowOff>285750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5591175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30</xdr:row>
      <xdr:rowOff>57150</xdr:rowOff>
    </xdr:from>
    <xdr:to>
      <xdr:col>2</xdr:col>
      <xdr:colOff>876300</xdr:colOff>
      <xdr:row>30</xdr:row>
      <xdr:rowOff>276225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7667625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31</xdr:row>
      <xdr:rowOff>76200</xdr:rowOff>
    </xdr:from>
    <xdr:to>
      <xdr:col>2</xdr:col>
      <xdr:colOff>866775</xdr:colOff>
      <xdr:row>32</xdr:row>
      <xdr:rowOff>28575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43225" y="8001000"/>
          <a:ext cx="762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32</xdr:row>
      <xdr:rowOff>152400</xdr:rowOff>
    </xdr:from>
    <xdr:to>
      <xdr:col>2</xdr:col>
      <xdr:colOff>695325</xdr:colOff>
      <xdr:row>33</xdr:row>
      <xdr:rowOff>95250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38475" y="842962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24</xdr:row>
      <xdr:rowOff>57150</xdr:rowOff>
    </xdr:from>
    <xdr:to>
      <xdr:col>2</xdr:col>
      <xdr:colOff>638175</xdr:colOff>
      <xdr:row>25</xdr:row>
      <xdr:rowOff>228600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14675" y="5962650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28</xdr:row>
      <xdr:rowOff>57150</xdr:rowOff>
    </xdr:from>
    <xdr:to>
      <xdr:col>2</xdr:col>
      <xdr:colOff>571500</xdr:colOff>
      <xdr:row>29</xdr:row>
      <xdr:rowOff>228600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00400" y="7058025"/>
          <a:ext cx="209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40</xdr:row>
      <xdr:rowOff>38100</xdr:rowOff>
    </xdr:from>
    <xdr:to>
      <xdr:col>2</xdr:col>
      <xdr:colOff>638175</xdr:colOff>
      <xdr:row>40</xdr:row>
      <xdr:rowOff>371475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62300" y="10544175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40</xdr:row>
      <xdr:rowOff>371475</xdr:rowOff>
    </xdr:from>
    <xdr:to>
      <xdr:col>2</xdr:col>
      <xdr:colOff>619125</xdr:colOff>
      <xdr:row>41</xdr:row>
      <xdr:rowOff>400050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62300" y="10877550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42</xdr:row>
      <xdr:rowOff>19050</xdr:rowOff>
    </xdr:from>
    <xdr:to>
      <xdr:col>2</xdr:col>
      <xdr:colOff>628650</xdr:colOff>
      <xdr:row>42</xdr:row>
      <xdr:rowOff>400050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14675" y="1131570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5</xdr:row>
      <xdr:rowOff>95250</xdr:rowOff>
    </xdr:from>
    <xdr:to>
      <xdr:col>1</xdr:col>
      <xdr:colOff>504825</xdr:colOff>
      <xdr:row>8</xdr:row>
      <xdr:rowOff>47625</xdr:rowOff>
    </xdr:to>
    <xdr:sp>
      <xdr:nvSpPr>
        <xdr:cNvPr id="14" name="Rectangle 14"/>
        <xdr:cNvSpPr>
          <a:spLocks/>
        </xdr:cNvSpPr>
      </xdr:nvSpPr>
      <xdr:spPr>
        <a:xfrm>
          <a:off x="990600" y="1047750"/>
          <a:ext cx="38100" cy="523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19050</xdr:rowOff>
    </xdr:from>
    <xdr:to>
      <xdr:col>1</xdr:col>
      <xdr:colOff>504825</xdr:colOff>
      <xdr:row>11</xdr:row>
      <xdr:rowOff>161925</xdr:rowOff>
    </xdr:to>
    <xdr:sp>
      <xdr:nvSpPr>
        <xdr:cNvPr id="15" name="Rectangle 16"/>
        <xdr:cNvSpPr>
          <a:spLocks/>
        </xdr:cNvSpPr>
      </xdr:nvSpPr>
      <xdr:spPr>
        <a:xfrm>
          <a:off x="990600" y="1924050"/>
          <a:ext cx="38100" cy="3333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76200</xdr:rowOff>
    </xdr:from>
    <xdr:to>
      <xdr:col>1</xdr:col>
      <xdr:colOff>504825</xdr:colOff>
      <xdr:row>13</xdr:row>
      <xdr:rowOff>123825</xdr:rowOff>
    </xdr:to>
    <xdr:sp>
      <xdr:nvSpPr>
        <xdr:cNvPr id="16" name="Rectangle 17"/>
        <xdr:cNvSpPr>
          <a:spLocks/>
        </xdr:cNvSpPr>
      </xdr:nvSpPr>
      <xdr:spPr>
        <a:xfrm>
          <a:off x="990600" y="2362200"/>
          <a:ext cx="38100" cy="2381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3</xdr:col>
      <xdr:colOff>57150</xdr:colOff>
      <xdr:row>8</xdr:row>
      <xdr:rowOff>28575</xdr:rowOff>
    </xdr:to>
    <xdr:sp>
      <xdr:nvSpPr>
        <xdr:cNvPr id="17" name="Rectangle 18"/>
        <xdr:cNvSpPr>
          <a:spLocks/>
        </xdr:cNvSpPr>
      </xdr:nvSpPr>
      <xdr:spPr>
        <a:xfrm>
          <a:off x="3733800" y="1019175"/>
          <a:ext cx="57150" cy="533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57150</xdr:colOff>
      <xdr:row>11</xdr:row>
      <xdr:rowOff>171450</xdr:rowOff>
    </xdr:to>
    <xdr:sp>
      <xdr:nvSpPr>
        <xdr:cNvPr id="18" name="Rectangle 20"/>
        <xdr:cNvSpPr>
          <a:spLocks/>
        </xdr:cNvSpPr>
      </xdr:nvSpPr>
      <xdr:spPr>
        <a:xfrm>
          <a:off x="3733800" y="1924050"/>
          <a:ext cx="57150" cy="3429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57150</xdr:colOff>
      <xdr:row>13</xdr:row>
      <xdr:rowOff>161925</xdr:rowOff>
    </xdr:to>
    <xdr:sp>
      <xdr:nvSpPr>
        <xdr:cNvPr id="19" name="Rectangle 21"/>
        <xdr:cNvSpPr>
          <a:spLocks/>
        </xdr:cNvSpPr>
      </xdr:nvSpPr>
      <xdr:spPr>
        <a:xfrm>
          <a:off x="3733800" y="2371725"/>
          <a:ext cx="57150" cy="2667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1</xdr:col>
      <xdr:colOff>990600</xdr:colOff>
      <xdr:row>15</xdr:row>
      <xdr:rowOff>38100</xdr:rowOff>
    </xdr:from>
    <xdr:to>
      <xdr:col>1</xdr:col>
      <xdr:colOff>1276350</xdr:colOff>
      <xdr:row>15</xdr:row>
      <xdr:rowOff>85725</xdr:rowOff>
    </xdr:to>
    <xdr:sp>
      <xdr:nvSpPr>
        <xdr:cNvPr id="20" name="Rectangle 22"/>
        <xdr:cNvSpPr>
          <a:spLocks/>
        </xdr:cNvSpPr>
      </xdr:nvSpPr>
      <xdr:spPr>
        <a:xfrm>
          <a:off x="1524000" y="2895600"/>
          <a:ext cx="2857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oneCellAnchor>
    <xdr:from>
      <xdr:col>1</xdr:col>
      <xdr:colOff>933450</xdr:colOff>
      <xdr:row>14</xdr:row>
      <xdr:rowOff>0</xdr:rowOff>
    </xdr:from>
    <xdr:ext cx="419100" cy="180975"/>
    <xdr:sp>
      <xdr:nvSpPr>
        <xdr:cNvPr id="21" name="TextBox 23"/>
        <xdr:cNvSpPr txBox="1">
          <a:spLocks noChangeArrowheads="1"/>
        </xdr:cNvSpPr>
      </xdr:nvSpPr>
      <xdr:spPr>
        <a:xfrm>
          <a:off x="1466850" y="2667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CR-A</a:t>
          </a:r>
        </a:p>
      </xdr:txBody>
    </xdr:sp>
    <xdr:clientData/>
  </xdr:oneCellAnchor>
  <xdr:oneCellAnchor>
    <xdr:from>
      <xdr:col>1</xdr:col>
      <xdr:colOff>523875</xdr:colOff>
      <xdr:row>12</xdr:row>
      <xdr:rowOff>95250</xdr:rowOff>
    </xdr:from>
    <xdr:ext cx="457200" cy="238125"/>
    <xdr:sp>
      <xdr:nvSpPr>
        <xdr:cNvPr id="22" name="TextBox 24"/>
        <xdr:cNvSpPr txBox="1">
          <a:spLocks noChangeArrowheads="1"/>
        </xdr:cNvSpPr>
      </xdr:nvSpPr>
      <xdr:spPr>
        <a:xfrm>
          <a:off x="1057275" y="2381250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CR-B</a:t>
          </a:r>
        </a:p>
      </xdr:txBody>
    </xdr:sp>
    <xdr:clientData/>
  </xdr:oneCellAnchor>
  <xdr:oneCellAnchor>
    <xdr:from>
      <xdr:col>1</xdr:col>
      <xdr:colOff>514350</xdr:colOff>
      <xdr:row>10</xdr:row>
      <xdr:rowOff>95250</xdr:rowOff>
    </xdr:from>
    <xdr:ext cx="533400" cy="247650"/>
    <xdr:sp>
      <xdr:nvSpPr>
        <xdr:cNvPr id="23" name="TextBox 25"/>
        <xdr:cNvSpPr txBox="1">
          <a:spLocks noChangeArrowheads="1"/>
        </xdr:cNvSpPr>
      </xdr:nvSpPr>
      <xdr:spPr>
        <a:xfrm>
          <a:off x="1047750" y="200025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CR-C</a:t>
          </a:r>
        </a:p>
      </xdr:txBody>
    </xdr:sp>
    <xdr:clientData/>
  </xdr:oneCellAnchor>
  <xdr:oneCellAnchor>
    <xdr:from>
      <xdr:col>1</xdr:col>
      <xdr:colOff>504825</xdr:colOff>
      <xdr:row>8</xdr:row>
      <xdr:rowOff>104775</xdr:rowOff>
    </xdr:from>
    <xdr:ext cx="266700" cy="276225"/>
    <xdr:sp fLocksText="0">
      <xdr:nvSpPr>
        <xdr:cNvPr id="24" name="TextBox 26"/>
        <xdr:cNvSpPr txBox="1">
          <a:spLocks noChangeArrowheads="1"/>
        </xdr:cNvSpPr>
      </xdr:nvSpPr>
      <xdr:spPr>
        <a:xfrm>
          <a:off x="1038225" y="162877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oneCellAnchor>
  <xdr:oneCellAnchor>
    <xdr:from>
      <xdr:col>1</xdr:col>
      <xdr:colOff>514350</xdr:colOff>
      <xdr:row>6</xdr:row>
      <xdr:rowOff>76200</xdr:rowOff>
    </xdr:from>
    <xdr:ext cx="552450" cy="238125"/>
    <xdr:sp>
      <xdr:nvSpPr>
        <xdr:cNvPr id="25" name="TextBox 27"/>
        <xdr:cNvSpPr txBox="1">
          <a:spLocks noChangeArrowheads="1"/>
        </xdr:cNvSpPr>
      </xdr:nvSpPr>
      <xdr:spPr>
        <a:xfrm>
          <a:off x="1047750" y="12192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CR-E</a:t>
          </a:r>
        </a:p>
      </xdr:txBody>
    </xdr:sp>
    <xdr:clientData/>
  </xdr:oneCellAnchor>
  <xdr:oneCellAnchor>
    <xdr:from>
      <xdr:col>2</xdr:col>
      <xdr:colOff>409575</xdr:colOff>
      <xdr:row>6</xdr:row>
      <xdr:rowOff>28575</xdr:rowOff>
    </xdr:from>
    <xdr:ext cx="485775" cy="228600"/>
    <xdr:sp>
      <xdr:nvSpPr>
        <xdr:cNvPr id="26" name="TextBox 28"/>
        <xdr:cNvSpPr txBox="1">
          <a:spLocks noChangeArrowheads="1"/>
        </xdr:cNvSpPr>
      </xdr:nvSpPr>
      <xdr:spPr>
        <a:xfrm>
          <a:off x="3248025" y="11715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CR-E</a:t>
          </a:r>
        </a:p>
      </xdr:txBody>
    </xdr:sp>
    <xdr:clientData/>
  </xdr:oneCellAnchor>
  <xdr:oneCellAnchor>
    <xdr:from>
      <xdr:col>2</xdr:col>
      <xdr:colOff>428625</xdr:colOff>
      <xdr:row>8</xdr:row>
      <xdr:rowOff>123825</xdr:rowOff>
    </xdr:from>
    <xdr:ext cx="257175" cy="257175"/>
    <xdr:sp fLocksText="0">
      <xdr:nvSpPr>
        <xdr:cNvPr id="27" name="TextBox 29"/>
        <xdr:cNvSpPr txBox="1">
          <a:spLocks noChangeArrowheads="1"/>
        </xdr:cNvSpPr>
      </xdr:nvSpPr>
      <xdr:spPr>
        <a:xfrm>
          <a:off x="3267075" y="1647825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oneCellAnchor>
  <xdr:oneCellAnchor>
    <xdr:from>
      <xdr:col>2</xdr:col>
      <xdr:colOff>504825</xdr:colOff>
      <xdr:row>10</xdr:row>
      <xdr:rowOff>95250</xdr:rowOff>
    </xdr:from>
    <xdr:ext cx="390525" cy="247650"/>
    <xdr:sp>
      <xdr:nvSpPr>
        <xdr:cNvPr id="28" name="TextBox 30"/>
        <xdr:cNvSpPr txBox="1">
          <a:spLocks noChangeArrowheads="1"/>
        </xdr:cNvSpPr>
      </xdr:nvSpPr>
      <xdr:spPr>
        <a:xfrm>
          <a:off x="3343275" y="200025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CR-C</a:t>
          </a:r>
        </a:p>
      </xdr:txBody>
    </xdr:sp>
    <xdr:clientData/>
  </xdr:oneCellAnchor>
  <xdr:oneCellAnchor>
    <xdr:from>
      <xdr:col>2</xdr:col>
      <xdr:colOff>504825</xdr:colOff>
      <xdr:row>12</xdr:row>
      <xdr:rowOff>133350</xdr:rowOff>
    </xdr:from>
    <xdr:ext cx="390525" cy="228600"/>
    <xdr:sp>
      <xdr:nvSpPr>
        <xdr:cNvPr id="29" name="TextBox 31"/>
        <xdr:cNvSpPr txBox="1">
          <a:spLocks noChangeArrowheads="1"/>
        </xdr:cNvSpPr>
      </xdr:nvSpPr>
      <xdr:spPr>
        <a:xfrm>
          <a:off x="3343275" y="241935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CR-B</a:t>
          </a:r>
        </a:p>
      </xdr:txBody>
    </xdr:sp>
    <xdr:clientData/>
  </xdr:oneCellAnchor>
  <xdr:twoCellAnchor>
    <xdr:from>
      <xdr:col>2</xdr:col>
      <xdr:colOff>142875</xdr:colOff>
      <xdr:row>36</xdr:row>
      <xdr:rowOff>190500</xdr:rowOff>
    </xdr:from>
    <xdr:to>
      <xdr:col>2</xdr:col>
      <xdr:colOff>857250</xdr:colOff>
      <xdr:row>37</xdr:row>
      <xdr:rowOff>200025</xdr:rowOff>
    </xdr:to>
    <xdr:pic>
      <xdr:nvPicPr>
        <xdr:cNvPr id="30" name="Picture 1" descr="image00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81325" y="9553575"/>
          <a:ext cx="714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15</xdr:row>
      <xdr:rowOff>38100</xdr:rowOff>
    </xdr:from>
    <xdr:to>
      <xdr:col>2</xdr:col>
      <xdr:colOff>352425</xdr:colOff>
      <xdr:row>15</xdr:row>
      <xdr:rowOff>85725</xdr:rowOff>
    </xdr:to>
    <xdr:sp>
      <xdr:nvSpPr>
        <xdr:cNvPr id="31" name="Rectangle 33"/>
        <xdr:cNvSpPr>
          <a:spLocks/>
        </xdr:cNvSpPr>
      </xdr:nvSpPr>
      <xdr:spPr>
        <a:xfrm>
          <a:off x="2905125" y="2895600"/>
          <a:ext cx="2952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oneCellAnchor>
    <xdr:from>
      <xdr:col>2</xdr:col>
      <xdr:colOff>9525</xdr:colOff>
      <xdr:row>14</xdr:row>
      <xdr:rowOff>0</xdr:rowOff>
    </xdr:from>
    <xdr:ext cx="409575" cy="180975"/>
    <xdr:sp>
      <xdr:nvSpPr>
        <xdr:cNvPr id="32" name="TextBox 34"/>
        <xdr:cNvSpPr txBox="1">
          <a:spLocks noChangeArrowheads="1"/>
        </xdr:cNvSpPr>
      </xdr:nvSpPr>
      <xdr:spPr>
        <a:xfrm>
          <a:off x="2847975" y="2667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CR-A</a:t>
          </a:r>
        </a:p>
      </xdr:txBody>
    </xdr:sp>
    <xdr:clientData/>
  </xdr:oneCellAnchor>
  <xdr:twoCellAnchor>
    <xdr:from>
      <xdr:col>1</xdr:col>
      <xdr:colOff>771525</xdr:colOff>
      <xdr:row>4</xdr:row>
      <xdr:rowOff>85725</xdr:rowOff>
    </xdr:from>
    <xdr:to>
      <xdr:col>1</xdr:col>
      <xdr:colOff>1447800</xdr:colOff>
      <xdr:row>4</xdr:row>
      <xdr:rowOff>142875</xdr:rowOff>
    </xdr:to>
    <xdr:sp>
      <xdr:nvSpPr>
        <xdr:cNvPr id="33" name="Rectangle 35"/>
        <xdr:cNvSpPr>
          <a:spLocks/>
        </xdr:cNvSpPr>
      </xdr:nvSpPr>
      <xdr:spPr>
        <a:xfrm>
          <a:off x="1304925" y="847725"/>
          <a:ext cx="67627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1</xdr:col>
      <xdr:colOff>2200275</xdr:colOff>
      <xdr:row>4</xdr:row>
      <xdr:rowOff>85725</xdr:rowOff>
    </xdr:from>
    <xdr:to>
      <xdr:col>2</xdr:col>
      <xdr:colOff>552450</xdr:colOff>
      <xdr:row>4</xdr:row>
      <xdr:rowOff>142875</xdr:rowOff>
    </xdr:to>
    <xdr:sp>
      <xdr:nvSpPr>
        <xdr:cNvPr id="34" name="Rectangle 36"/>
        <xdr:cNvSpPr>
          <a:spLocks/>
        </xdr:cNvSpPr>
      </xdr:nvSpPr>
      <xdr:spPr>
        <a:xfrm>
          <a:off x="2733675" y="847725"/>
          <a:ext cx="657225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 editAs="oneCell">
    <xdr:from>
      <xdr:col>1</xdr:col>
      <xdr:colOff>914400</xdr:colOff>
      <xdr:row>4</xdr:row>
      <xdr:rowOff>180975</xdr:rowOff>
    </xdr:from>
    <xdr:to>
      <xdr:col>1</xdr:col>
      <xdr:colOff>1295400</xdr:colOff>
      <xdr:row>5</xdr:row>
      <xdr:rowOff>161925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47800" y="94297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2295525</xdr:colOff>
      <xdr:row>4</xdr:row>
      <xdr:rowOff>180975</xdr:rowOff>
    </xdr:from>
    <xdr:to>
      <xdr:col>2</xdr:col>
      <xdr:colOff>381000</xdr:colOff>
      <xdr:row>5</xdr:row>
      <xdr:rowOff>161925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28925" y="94297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1685925</xdr:colOff>
      <xdr:row>25</xdr:row>
      <xdr:rowOff>190500</xdr:rowOff>
    </xdr:from>
    <xdr:to>
      <xdr:col>4</xdr:col>
      <xdr:colOff>76200</xdr:colOff>
      <xdr:row>29</xdr:row>
      <xdr:rowOff>133350</xdr:rowOff>
    </xdr:to>
    <xdr:pic>
      <xdr:nvPicPr>
        <xdr:cNvPr id="37" name="Picture 34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19325" y="6391275"/>
          <a:ext cx="2571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3</xdr:col>
      <xdr:colOff>457200</xdr:colOff>
      <xdr:row>15</xdr:row>
      <xdr:rowOff>295275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0"/>
          <a:ext cx="40290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19</xdr:row>
      <xdr:rowOff>171450</xdr:rowOff>
    </xdr:from>
    <xdr:to>
      <xdr:col>2</xdr:col>
      <xdr:colOff>895350</xdr:colOff>
      <xdr:row>20</xdr:row>
      <xdr:rowOff>209550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438150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21</xdr:row>
      <xdr:rowOff>9525</xdr:rowOff>
    </xdr:from>
    <xdr:to>
      <xdr:col>2</xdr:col>
      <xdr:colOff>571500</xdr:colOff>
      <xdr:row>21</xdr:row>
      <xdr:rowOff>447675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4829175"/>
          <a:ext cx="257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22</xdr:row>
      <xdr:rowOff>38100</xdr:rowOff>
    </xdr:from>
    <xdr:to>
      <xdr:col>2</xdr:col>
      <xdr:colOff>523875</xdr:colOff>
      <xdr:row>23</xdr:row>
      <xdr:rowOff>19050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5334000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23</xdr:row>
      <xdr:rowOff>38100</xdr:rowOff>
    </xdr:from>
    <xdr:to>
      <xdr:col>2</xdr:col>
      <xdr:colOff>514350</xdr:colOff>
      <xdr:row>23</xdr:row>
      <xdr:rowOff>285750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90850" y="5676900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30</xdr:row>
      <xdr:rowOff>47625</xdr:rowOff>
    </xdr:from>
    <xdr:to>
      <xdr:col>2</xdr:col>
      <xdr:colOff>895350</xdr:colOff>
      <xdr:row>30</xdr:row>
      <xdr:rowOff>266700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7762875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31</xdr:row>
      <xdr:rowOff>19050</xdr:rowOff>
    </xdr:from>
    <xdr:to>
      <xdr:col>2</xdr:col>
      <xdr:colOff>895350</xdr:colOff>
      <xdr:row>31</xdr:row>
      <xdr:rowOff>323850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8048625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32</xdr:row>
      <xdr:rowOff>171450</xdr:rowOff>
    </xdr:from>
    <xdr:to>
      <xdr:col>2</xdr:col>
      <xdr:colOff>647700</xdr:colOff>
      <xdr:row>33</xdr:row>
      <xdr:rowOff>133350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8553450"/>
          <a:ext cx="485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24</xdr:row>
      <xdr:rowOff>57150</xdr:rowOff>
    </xdr:from>
    <xdr:to>
      <xdr:col>2</xdr:col>
      <xdr:colOff>590550</xdr:colOff>
      <xdr:row>25</xdr:row>
      <xdr:rowOff>228600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38475" y="6048375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28</xdr:row>
      <xdr:rowOff>85725</xdr:rowOff>
    </xdr:from>
    <xdr:to>
      <xdr:col>2</xdr:col>
      <xdr:colOff>533400</xdr:colOff>
      <xdr:row>29</xdr:row>
      <xdr:rowOff>257175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62300" y="7191375"/>
          <a:ext cx="209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47625</xdr:rowOff>
    </xdr:from>
    <xdr:to>
      <xdr:col>2</xdr:col>
      <xdr:colOff>638175</xdr:colOff>
      <xdr:row>40</xdr:row>
      <xdr:rowOff>381000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52775" y="106584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41</xdr:row>
      <xdr:rowOff>9525</xdr:rowOff>
    </xdr:from>
    <xdr:to>
      <xdr:col>2</xdr:col>
      <xdr:colOff>571500</xdr:colOff>
      <xdr:row>41</xdr:row>
      <xdr:rowOff>409575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05150" y="11001375"/>
          <a:ext cx="304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42</xdr:row>
      <xdr:rowOff>19050</xdr:rowOff>
    </xdr:from>
    <xdr:to>
      <xdr:col>2</xdr:col>
      <xdr:colOff>619125</xdr:colOff>
      <xdr:row>42</xdr:row>
      <xdr:rowOff>400050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05150" y="114204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5</xdr:row>
      <xdr:rowOff>95250</xdr:rowOff>
    </xdr:from>
    <xdr:to>
      <xdr:col>1</xdr:col>
      <xdr:colOff>504825</xdr:colOff>
      <xdr:row>8</xdr:row>
      <xdr:rowOff>47625</xdr:rowOff>
    </xdr:to>
    <xdr:sp>
      <xdr:nvSpPr>
        <xdr:cNvPr id="14" name="Rectangle 14"/>
        <xdr:cNvSpPr>
          <a:spLocks/>
        </xdr:cNvSpPr>
      </xdr:nvSpPr>
      <xdr:spPr>
        <a:xfrm>
          <a:off x="990600" y="1047750"/>
          <a:ext cx="38100" cy="523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19050</xdr:rowOff>
    </xdr:from>
    <xdr:to>
      <xdr:col>1</xdr:col>
      <xdr:colOff>504825</xdr:colOff>
      <xdr:row>11</xdr:row>
      <xdr:rowOff>161925</xdr:rowOff>
    </xdr:to>
    <xdr:sp>
      <xdr:nvSpPr>
        <xdr:cNvPr id="15" name="Rectangle 15"/>
        <xdr:cNvSpPr>
          <a:spLocks/>
        </xdr:cNvSpPr>
      </xdr:nvSpPr>
      <xdr:spPr>
        <a:xfrm>
          <a:off x="990600" y="1924050"/>
          <a:ext cx="38100" cy="3333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76200</xdr:rowOff>
    </xdr:from>
    <xdr:to>
      <xdr:col>1</xdr:col>
      <xdr:colOff>504825</xdr:colOff>
      <xdr:row>13</xdr:row>
      <xdr:rowOff>123825</xdr:rowOff>
    </xdr:to>
    <xdr:sp>
      <xdr:nvSpPr>
        <xdr:cNvPr id="16" name="Rectangle 16"/>
        <xdr:cNvSpPr>
          <a:spLocks/>
        </xdr:cNvSpPr>
      </xdr:nvSpPr>
      <xdr:spPr>
        <a:xfrm>
          <a:off x="990600" y="2362200"/>
          <a:ext cx="38100" cy="2381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3</xdr:col>
      <xdr:colOff>57150</xdr:colOff>
      <xdr:row>8</xdr:row>
      <xdr:rowOff>28575</xdr:rowOff>
    </xdr:to>
    <xdr:sp>
      <xdr:nvSpPr>
        <xdr:cNvPr id="17" name="Rectangle 17"/>
        <xdr:cNvSpPr>
          <a:spLocks/>
        </xdr:cNvSpPr>
      </xdr:nvSpPr>
      <xdr:spPr>
        <a:xfrm>
          <a:off x="3733800" y="1019175"/>
          <a:ext cx="57150" cy="533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133350</xdr:rowOff>
    </xdr:from>
    <xdr:to>
      <xdr:col>3</xdr:col>
      <xdr:colOff>57150</xdr:colOff>
      <xdr:row>9</xdr:row>
      <xdr:rowOff>85725</xdr:rowOff>
    </xdr:to>
    <xdr:sp>
      <xdr:nvSpPr>
        <xdr:cNvPr id="18" name="Rectangle 18"/>
        <xdr:cNvSpPr>
          <a:spLocks/>
        </xdr:cNvSpPr>
      </xdr:nvSpPr>
      <xdr:spPr>
        <a:xfrm>
          <a:off x="3733800" y="1657350"/>
          <a:ext cx="57150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57150</xdr:colOff>
      <xdr:row>11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3733800" y="1924050"/>
          <a:ext cx="57150" cy="3429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57150</xdr:colOff>
      <xdr:row>13</xdr:row>
      <xdr:rowOff>161925</xdr:rowOff>
    </xdr:to>
    <xdr:sp>
      <xdr:nvSpPr>
        <xdr:cNvPr id="20" name="Rectangle 20"/>
        <xdr:cNvSpPr>
          <a:spLocks/>
        </xdr:cNvSpPr>
      </xdr:nvSpPr>
      <xdr:spPr>
        <a:xfrm>
          <a:off x="3733800" y="2371725"/>
          <a:ext cx="57150" cy="2667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oneCellAnchor>
    <xdr:from>
      <xdr:col>1</xdr:col>
      <xdr:colOff>933450</xdr:colOff>
      <xdr:row>14</xdr:row>
      <xdr:rowOff>0</xdr:rowOff>
    </xdr:from>
    <xdr:ext cx="419100" cy="180975"/>
    <xdr:sp fLocksText="0">
      <xdr:nvSpPr>
        <xdr:cNvPr id="21" name="TextBox 22"/>
        <xdr:cNvSpPr txBox="1">
          <a:spLocks noChangeArrowheads="1"/>
        </xdr:cNvSpPr>
      </xdr:nvSpPr>
      <xdr:spPr>
        <a:xfrm>
          <a:off x="1466850" y="2667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oneCellAnchor>
  <xdr:oneCellAnchor>
    <xdr:from>
      <xdr:col>1</xdr:col>
      <xdr:colOff>523875</xdr:colOff>
      <xdr:row>12</xdr:row>
      <xdr:rowOff>95250</xdr:rowOff>
    </xdr:from>
    <xdr:ext cx="457200" cy="238125"/>
    <xdr:sp>
      <xdr:nvSpPr>
        <xdr:cNvPr id="22" name="TextBox 23"/>
        <xdr:cNvSpPr txBox="1">
          <a:spLocks noChangeArrowheads="1"/>
        </xdr:cNvSpPr>
      </xdr:nvSpPr>
      <xdr:spPr>
        <a:xfrm>
          <a:off x="1057275" y="2381250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CR-B</a:t>
          </a:r>
        </a:p>
      </xdr:txBody>
    </xdr:sp>
    <xdr:clientData/>
  </xdr:oneCellAnchor>
  <xdr:oneCellAnchor>
    <xdr:from>
      <xdr:col>1</xdr:col>
      <xdr:colOff>514350</xdr:colOff>
      <xdr:row>10</xdr:row>
      <xdr:rowOff>95250</xdr:rowOff>
    </xdr:from>
    <xdr:ext cx="533400" cy="247650"/>
    <xdr:sp>
      <xdr:nvSpPr>
        <xdr:cNvPr id="23" name="TextBox 24"/>
        <xdr:cNvSpPr txBox="1">
          <a:spLocks noChangeArrowheads="1"/>
        </xdr:cNvSpPr>
      </xdr:nvSpPr>
      <xdr:spPr>
        <a:xfrm>
          <a:off x="1047750" y="200025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CR-C</a:t>
          </a:r>
        </a:p>
      </xdr:txBody>
    </xdr:sp>
    <xdr:clientData/>
  </xdr:oneCellAnchor>
  <xdr:oneCellAnchor>
    <xdr:from>
      <xdr:col>1</xdr:col>
      <xdr:colOff>504825</xdr:colOff>
      <xdr:row>8</xdr:row>
      <xdr:rowOff>104775</xdr:rowOff>
    </xdr:from>
    <xdr:ext cx="266700" cy="276225"/>
    <xdr:sp fLocksText="0">
      <xdr:nvSpPr>
        <xdr:cNvPr id="24" name="TextBox 25"/>
        <xdr:cNvSpPr txBox="1">
          <a:spLocks noChangeArrowheads="1"/>
        </xdr:cNvSpPr>
      </xdr:nvSpPr>
      <xdr:spPr>
        <a:xfrm>
          <a:off x="1038225" y="162877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oneCellAnchor>
  <xdr:oneCellAnchor>
    <xdr:from>
      <xdr:col>1</xdr:col>
      <xdr:colOff>514350</xdr:colOff>
      <xdr:row>6</xdr:row>
      <xdr:rowOff>57150</xdr:rowOff>
    </xdr:from>
    <xdr:ext cx="419100" cy="514350"/>
    <xdr:sp>
      <xdr:nvSpPr>
        <xdr:cNvPr id="25" name="TextBox 26"/>
        <xdr:cNvSpPr txBox="1">
          <a:spLocks noChangeArrowheads="1"/>
        </xdr:cNvSpPr>
      </xdr:nvSpPr>
      <xdr:spPr>
        <a:xfrm>
          <a:off x="1047750" y="1200150"/>
          <a:ext cx="4191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CR-E</a:t>
          </a:r>
        </a:p>
      </xdr:txBody>
    </xdr:sp>
    <xdr:clientData/>
  </xdr:oneCellAnchor>
  <xdr:oneCellAnchor>
    <xdr:from>
      <xdr:col>2</xdr:col>
      <xdr:colOff>457200</xdr:colOff>
      <xdr:row>6</xdr:row>
      <xdr:rowOff>28575</xdr:rowOff>
    </xdr:from>
    <xdr:ext cx="438150" cy="228600"/>
    <xdr:sp>
      <xdr:nvSpPr>
        <xdr:cNvPr id="26" name="TextBox 27"/>
        <xdr:cNvSpPr txBox="1">
          <a:spLocks noChangeArrowheads="1"/>
        </xdr:cNvSpPr>
      </xdr:nvSpPr>
      <xdr:spPr>
        <a:xfrm>
          <a:off x="3295650" y="11715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CR-E</a:t>
          </a:r>
        </a:p>
      </xdr:txBody>
    </xdr:sp>
    <xdr:clientData/>
  </xdr:oneCellAnchor>
  <xdr:oneCellAnchor>
    <xdr:from>
      <xdr:col>2</xdr:col>
      <xdr:colOff>485775</xdr:colOff>
      <xdr:row>8</xdr:row>
      <xdr:rowOff>133350</xdr:rowOff>
    </xdr:from>
    <xdr:ext cx="409575" cy="228600"/>
    <xdr:sp>
      <xdr:nvSpPr>
        <xdr:cNvPr id="27" name="TextBox 28"/>
        <xdr:cNvSpPr txBox="1">
          <a:spLocks noChangeArrowheads="1"/>
        </xdr:cNvSpPr>
      </xdr:nvSpPr>
      <xdr:spPr>
        <a:xfrm>
          <a:off x="3324225" y="165735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CR-D </a:t>
          </a:r>
        </a:p>
      </xdr:txBody>
    </xdr:sp>
    <xdr:clientData/>
  </xdr:oneCellAnchor>
  <xdr:oneCellAnchor>
    <xdr:from>
      <xdr:col>2</xdr:col>
      <xdr:colOff>504825</xdr:colOff>
      <xdr:row>10</xdr:row>
      <xdr:rowOff>95250</xdr:rowOff>
    </xdr:from>
    <xdr:ext cx="390525" cy="247650"/>
    <xdr:sp>
      <xdr:nvSpPr>
        <xdr:cNvPr id="28" name="TextBox 29"/>
        <xdr:cNvSpPr txBox="1">
          <a:spLocks noChangeArrowheads="1"/>
        </xdr:cNvSpPr>
      </xdr:nvSpPr>
      <xdr:spPr>
        <a:xfrm>
          <a:off x="3343275" y="200025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CR-C</a:t>
          </a:r>
        </a:p>
      </xdr:txBody>
    </xdr:sp>
    <xdr:clientData/>
  </xdr:oneCellAnchor>
  <xdr:oneCellAnchor>
    <xdr:from>
      <xdr:col>2</xdr:col>
      <xdr:colOff>504825</xdr:colOff>
      <xdr:row>12</xdr:row>
      <xdr:rowOff>133350</xdr:rowOff>
    </xdr:from>
    <xdr:ext cx="390525" cy="228600"/>
    <xdr:sp>
      <xdr:nvSpPr>
        <xdr:cNvPr id="29" name="TextBox 30"/>
        <xdr:cNvSpPr txBox="1">
          <a:spLocks noChangeArrowheads="1"/>
        </xdr:cNvSpPr>
      </xdr:nvSpPr>
      <xdr:spPr>
        <a:xfrm>
          <a:off x="3343275" y="241935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CR-B</a:t>
          </a:r>
        </a:p>
      </xdr:txBody>
    </xdr:sp>
    <xdr:clientData/>
  </xdr:oneCellAnchor>
  <xdr:twoCellAnchor>
    <xdr:from>
      <xdr:col>2</xdr:col>
      <xdr:colOff>76200</xdr:colOff>
      <xdr:row>36</xdr:row>
      <xdr:rowOff>133350</xdr:rowOff>
    </xdr:from>
    <xdr:to>
      <xdr:col>2</xdr:col>
      <xdr:colOff>790575</xdr:colOff>
      <xdr:row>37</xdr:row>
      <xdr:rowOff>152400</xdr:rowOff>
    </xdr:to>
    <xdr:pic>
      <xdr:nvPicPr>
        <xdr:cNvPr id="30" name="Picture 1" descr="image00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14650" y="9601200"/>
          <a:ext cx="714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4</xdr:row>
      <xdr:rowOff>133350</xdr:rowOff>
    </xdr:from>
    <xdr:to>
      <xdr:col>1</xdr:col>
      <xdr:colOff>1514475</xdr:colOff>
      <xdr:row>4</xdr:row>
      <xdr:rowOff>180975</xdr:rowOff>
    </xdr:to>
    <xdr:sp>
      <xdr:nvSpPr>
        <xdr:cNvPr id="31" name="Rectangle 32"/>
        <xdr:cNvSpPr>
          <a:spLocks/>
        </xdr:cNvSpPr>
      </xdr:nvSpPr>
      <xdr:spPr>
        <a:xfrm>
          <a:off x="1304925" y="895350"/>
          <a:ext cx="7429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>
    <xdr:from>
      <xdr:col>1</xdr:col>
      <xdr:colOff>2152650</xdr:colOff>
      <xdr:row>4</xdr:row>
      <xdr:rowOff>133350</xdr:rowOff>
    </xdr:from>
    <xdr:to>
      <xdr:col>2</xdr:col>
      <xdr:colOff>590550</xdr:colOff>
      <xdr:row>4</xdr:row>
      <xdr:rowOff>180975</xdr:rowOff>
    </xdr:to>
    <xdr:sp>
      <xdr:nvSpPr>
        <xdr:cNvPr id="32" name="Rectangle 33"/>
        <xdr:cNvSpPr>
          <a:spLocks/>
        </xdr:cNvSpPr>
      </xdr:nvSpPr>
      <xdr:spPr>
        <a:xfrm>
          <a:off x="2686050" y="895350"/>
          <a:ext cx="742950" cy="476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oneCellAnchor>
    <xdr:from>
      <xdr:col>1</xdr:col>
      <xdr:colOff>885825</xdr:colOff>
      <xdr:row>5</xdr:row>
      <xdr:rowOff>19050</xdr:rowOff>
    </xdr:from>
    <xdr:ext cx="495300" cy="200025"/>
    <xdr:sp>
      <xdr:nvSpPr>
        <xdr:cNvPr id="33" name="TextBox 34"/>
        <xdr:cNvSpPr txBox="1">
          <a:spLocks noChangeArrowheads="1"/>
        </xdr:cNvSpPr>
      </xdr:nvSpPr>
      <xdr:spPr>
        <a:xfrm>
          <a:off x="1419225" y="9715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CR-E1</a:t>
          </a:r>
        </a:p>
      </xdr:txBody>
    </xdr:sp>
    <xdr:clientData/>
  </xdr:oneCellAnchor>
  <xdr:twoCellAnchor editAs="oneCell">
    <xdr:from>
      <xdr:col>1</xdr:col>
      <xdr:colOff>2295525</xdr:colOff>
      <xdr:row>5</xdr:row>
      <xdr:rowOff>19050</xdr:rowOff>
    </xdr:from>
    <xdr:to>
      <xdr:col>2</xdr:col>
      <xdr:colOff>381000</xdr:colOff>
      <xdr:row>5</xdr:row>
      <xdr:rowOff>190500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28925" y="97155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25</xdr:row>
      <xdr:rowOff>190500</xdr:rowOff>
    </xdr:from>
    <xdr:to>
      <xdr:col>4</xdr:col>
      <xdr:colOff>66675</xdr:colOff>
      <xdr:row>29</xdr:row>
      <xdr:rowOff>114300</xdr:rowOff>
    </xdr:to>
    <xdr:pic>
      <xdr:nvPicPr>
        <xdr:cNvPr id="35" name="Picture 34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71700" y="6477000"/>
          <a:ext cx="2609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8</xdr:row>
      <xdr:rowOff>142875</xdr:rowOff>
    </xdr:from>
    <xdr:to>
      <xdr:col>1</xdr:col>
      <xdr:colOff>495300</xdr:colOff>
      <xdr:row>9</xdr:row>
      <xdr:rowOff>95250</xdr:rowOff>
    </xdr:to>
    <xdr:sp>
      <xdr:nvSpPr>
        <xdr:cNvPr id="36" name="Rectangle 37"/>
        <xdr:cNvSpPr>
          <a:spLocks/>
        </xdr:cNvSpPr>
      </xdr:nvSpPr>
      <xdr:spPr>
        <a:xfrm>
          <a:off x="981075" y="1666875"/>
          <a:ext cx="38100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Eras Medium ITC"/>
              <a:ea typeface="Eras Medium ITC"/>
              <a:cs typeface="Eras Medium ITC"/>
            </a:rPr>
            <a:t/>
          </a:r>
        </a:p>
      </xdr:txBody>
    </xdr:sp>
    <xdr:clientData/>
  </xdr:twoCellAnchor>
  <xdr:twoCellAnchor editAs="oneCell">
    <xdr:from>
      <xdr:col>1</xdr:col>
      <xdr:colOff>542925</xdr:colOff>
      <xdr:row>8</xdr:row>
      <xdr:rowOff>142875</xdr:rowOff>
    </xdr:from>
    <xdr:to>
      <xdr:col>1</xdr:col>
      <xdr:colOff>904875</xdr:colOff>
      <xdr:row>9</xdr:row>
      <xdr:rowOff>180975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166687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7"/>
  <sheetViews>
    <sheetView tabSelected="1" zoomScale="90" zoomScaleNormal="90" workbookViewId="0" topLeftCell="A1">
      <selection activeCell="J75" sqref="J75"/>
    </sheetView>
  </sheetViews>
  <sheetFormatPr defaultColWidth="8.88671875" defaultRowHeight="15"/>
  <cols>
    <col min="1" max="1" width="6.21484375" style="2" customWidth="1"/>
    <col min="2" max="2" width="26.88671875" style="4" bestFit="1" customWidth="1"/>
    <col min="3" max="3" width="10.4453125" style="4" customWidth="1"/>
    <col min="4" max="4" width="11.4453125" style="4" customWidth="1"/>
    <col min="5" max="5" width="9.21484375" style="4" customWidth="1"/>
    <col min="6" max="6" width="12.10546875" style="4" customWidth="1"/>
    <col min="7" max="7" width="12.3359375" style="4" bestFit="1" customWidth="1"/>
    <col min="8" max="8" width="12.3359375" style="4" customWidth="1"/>
    <col min="9" max="9" width="11.6640625" style="0" bestFit="1" customWidth="1"/>
    <col min="10" max="10" width="10.4453125" style="0" bestFit="1" customWidth="1"/>
    <col min="11" max="11" width="10.4453125" style="0" customWidth="1"/>
    <col min="12" max="12" width="25.3359375" style="0" bestFit="1" customWidth="1"/>
    <col min="13" max="13" width="9.3359375" style="0" customWidth="1"/>
    <col min="17" max="17" width="8.88671875" style="1" customWidth="1"/>
  </cols>
  <sheetData>
    <row r="1" spans="1:11" ht="15" customHeight="1">
      <c r="A1" s="198" t="s">
        <v>113</v>
      </c>
      <c r="B1" s="198"/>
      <c r="C1" s="198"/>
      <c r="D1" s="198"/>
      <c r="E1" s="198"/>
      <c r="F1" s="198"/>
      <c r="G1" s="198"/>
      <c r="H1" s="180" t="s">
        <v>153</v>
      </c>
      <c r="I1" s="180"/>
      <c r="J1" s="5"/>
      <c r="K1" s="5"/>
    </row>
    <row r="2" spans="1:11" ht="15" customHeight="1">
      <c r="A2" s="198" t="s">
        <v>29</v>
      </c>
      <c r="B2" s="198"/>
      <c r="C2" s="198"/>
      <c r="D2" s="198"/>
      <c r="E2" s="198"/>
      <c r="F2" s="198"/>
      <c r="G2" s="198"/>
      <c r="H2" s="87"/>
      <c r="I2" s="6"/>
      <c r="J2" s="6"/>
      <c r="K2" s="6"/>
    </row>
    <row r="3" spans="1:11" ht="15">
      <c r="A3" s="7"/>
      <c r="B3" s="8"/>
      <c r="C3" s="8"/>
      <c r="D3" s="8"/>
      <c r="E3" s="8"/>
      <c r="F3" s="8"/>
      <c r="G3" s="8"/>
      <c r="H3" s="8"/>
      <c r="I3" s="5"/>
      <c r="J3" s="5"/>
      <c r="K3" s="5"/>
    </row>
    <row r="4" spans="1:11" ht="15">
      <c r="A4" s="7"/>
      <c r="B4" s="8"/>
      <c r="C4" s="8"/>
      <c r="D4" s="8"/>
      <c r="E4" s="8"/>
      <c r="F4" s="8"/>
      <c r="G4" s="8"/>
      <c r="H4" s="8"/>
      <c r="I4" s="5"/>
      <c r="J4" s="5"/>
      <c r="K4" s="5"/>
    </row>
    <row r="5" spans="1:11" ht="15">
      <c r="A5" s="7"/>
      <c r="B5" s="8"/>
      <c r="C5" s="8"/>
      <c r="D5" s="8"/>
      <c r="E5" s="8"/>
      <c r="F5" s="8"/>
      <c r="G5" s="8"/>
      <c r="H5" s="8"/>
      <c r="I5" s="5"/>
      <c r="J5" s="5"/>
      <c r="K5" s="5"/>
    </row>
    <row r="6" spans="1:11" ht="15">
      <c r="A6" s="7"/>
      <c r="B6" s="8"/>
      <c r="C6" s="8"/>
      <c r="D6" s="8"/>
      <c r="E6" s="9" t="s">
        <v>6</v>
      </c>
      <c r="F6" s="73">
        <v>1</v>
      </c>
      <c r="G6" s="8"/>
      <c r="H6" s="8"/>
      <c r="I6" s="5"/>
      <c r="J6" s="5"/>
      <c r="K6" s="5"/>
    </row>
    <row r="7" spans="1:11" ht="15">
      <c r="A7" s="7"/>
      <c r="B7" s="8"/>
      <c r="C7" s="8"/>
      <c r="D7" s="8"/>
      <c r="E7" s="10"/>
      <c r="F7" s="11"/>
      <c r="G7" s="8"/>
      <c r="H7" s="8"/>
      <c r="I7" s="5"/>
      <c r="J7" s="5"/>
      <c r="K7" s="5"/>
    </row>
    <row r="8" spans="1:11" ht="15">
      <c r="A8" s="7"/>
      <c r="B8" s="8"/>
      <c r="C8" s="8"/>
      <c r="D8" s="8"/>
      <c r="E8" s="9" t="s">
        <v>7</v>
      </c>
      <c r="F8" s="79">
        <v>78</v>
      </c>
      <c r="G8" s="8"/>
      <c r="H8" s="8"/>
      <c r="I8" s="5"/>
      <c r="J8" s="5"/>
      <c r="K8" s="5"/>
    </row>
    <row r="9" spans="1:11" ht="15">
      <c r="A9" s="7"/>
      <c r="B9" s="8"/>
      <c r="C9" s="8"/>
      <c r="D9" s="8"/>
      <c r="E9" s="12" t="s">
        <v>8</v>
      </c>
      <c r="F9" s="80">
        <v>80</v>
      </c>
      <c r="G9" s="8"/>
      <c r="H9" s="8"/>
      <c r="I9" s="5"/>
      <c r="J9" s="5"/>
      <c r="K9" s="5"/>
    </row>
    <row r="10" spans="1:11" ht="15">
      <c r="A10" s="7"/>
      <c r="B10" s="8"/>
      <c r="C10" s="8"/>
      <c r="D10" s="8"/>
      <c r="E10" s="13"/>
      <c r="F10" s="13"/>
      <c r="G10" s="8"/>
      <c r="H10" s="8"/>
      <c r="I10" s="5"/>
      <c r="J10" s="5"/>
      <c r="K10" s="5"/>
    </row>
    <row r="11" spans="1:11" ht="15">
      <c r="A11" s="7"/>
      <c r="B11" s="8"/>
      <c r="C11" s="8"/>
      <c r="D11" s="8"/>
      <c r="E11" s="130" t="s">
        <v>112</v>
      </c>
      <c r="F11" s="79">
        <v>40.375</v>
      </c>
      <c r="G11" s="227" t="s">
        <v>111</v>
      </c>
      <c r="H11" s="227"/>
      <c r="I11" s="227"/>
      <c r="J11" s="5"/>
      <c r="K11" s="5"/>
    </row>
    <row r="12" spans="1:11" ht="15">
      <c r="A12" s="7"/>
      <c r="B12" s="8"/>
      <c r="C12" s="8"/>
      <c r="D12" s="8"/>
      <c r="E12" s="8"/>
      <c r="F12" s="8"/>
      <c r="G12" s="8"/>
      <c r="H12" s="8"/>
      <c r="I12" s="5"/>
      <c r="J12" s="5"/>
      <c r="K12" s="5"/>
    </row>
    <row r="13" spans="1:11" ht="15">
      <c r="A13" s="7"/>
      <c r="B13" s="8"/>
      <c r="C13" s="8"/>
      <c r="D13" s="8"/>
      <c r="E13" s="199" t="s">
        <v>3</v>
      </c>
      <c r="F13" s="200"/>
      <c r="G13" s="14"/>
      <c r="H13" s="14"/>
      <c r="I13" s="5"/>
      <c r="J13" s="5"/>
      <c r="K13" s="5"/>
    </row>
    <row r="14" spans="1:11" ht="15">
      <c r="A14" s="7"/>
      <c r="B14" s="8"/>
      <c r="C14" s="8"/>
      <c r="D14" s="8"/>
      <c r="E14" s="9" t="s">
        <v>7</v>
      </c>
      <c r="F14" s="15">
        <f>SUM(F8/2)-5.438</f>
        <v>33.562</v>
      </c>
      <c r="G14" s="8"/>
      <c r="H14" s="8"/>
      <c r="I14" s="5"/>
      <c r="J14" s="5"/>
      <c r="K14" s="5"/>
    </row>
    <row r="15" spans="1:11" ht="15">
      <c r="A15" s="7"/>
      <c r="B15" s="8"/>
      <c r="C15" s="8"/>
      <c r="D15" s="8"/>
      <c r="E15" s="9" t="s">
        <v>8</v>
      </c>
      <c r="F15" s="15">
        <f>SUM(F9-8.375)</f>
        <v>71.625</v>
      </c>
      <c r="G15" s="8"/>
      <c r="H15" s="8"/>
      <c r="I15" s="5"/>
      <c r="J15" s="5"/>
      <c r="K15" s="5"/>
    </row>
    <row r="16" spans="1:11" ht="27" customHeight="1">
      <c r="A16" s="7"/>
      <c r="B16" s="8"/>
      <c r="C16" s="8"/>
      <c r="D16" s="8"/>
      <c r="E16" s="8"/>
      <c r="F16" s="8"/>
      <c r="G16" s="8"/>
      <c r="H16" s="8"/>
      <c r="I16" s="5"/>
      <c r="J16" s="5"/>
      <c r="K16" s="5"/>
    </row>
    <row r="17" spans="1:11" ht="11.25" customHeight="1">
      <c r="A17" s="7"/>
      <c r="B17" s="201" t="s">
        <v>30</v>
      </c>
      <c r="C17" s="201"/>
      <c r="D17" s="8"/>
      <c r="E17" s="8"/>
      <c r="F17" s="8"/>
      <c r="G17" s="8"/>
      <c r="H17" s="8"/>
      <c r="I17" s="5"/>
      <c r="J17" s="5"/>
      <c r="K17" s="5"/>
    </row>
    <row r="18" spans="1:11" ht="15" thickBot="1">
      <c r="A18" s="7"/>
      <c r="B18" s="8"/>
      <c r="C18" s="8"/>
      <c r="D18" s="8"/>
      <c r="E18" s="8"/>
      <c r="F18" s="8"/>
      <c r="G18" s="8"/>
      <c r="H18" s="8"/>
      <c r="I18" s="5"/>
      <c r="J18" s="5"/>
      <c r="K18" s="5"/>
    </row>
    <row r="19" spans="1:13" ht="53.25">
      <c r="A19" s="16" t="s">
        <v>75</v>
      </c>
      <c r="B19" s="17" t="s">
        <v>2</v>
      </c>
      <c r="C19" s="18"/>
      <c r="D19" s="19" t="s">
        <v>5</v>
      </c>
      <c r="E19" s="17" t="s">
        <v>0</v>
      </c>
      <c r="F19" s="19" t="s">
        <v>39</v>
      </c>
      <c r="G19" s="20" t="s">
        <v>61</v>
      </c>
      <c r="H19" s="20" t="s">
        <v>41</v>
      </c>
      <c r="I19" s="19" t="s">
        <v>37</v>
      </c>
      <c r="J19" s="21" t="s">
        <v>1</v>
      </c>
      <c r="K19" s="81" t="s">
        <v>80</v>
      </c>
      <c r="L19" s="92" t="s">
        <v>89</v>
      </c>
      <c r="M19" s="82" t="s">
        <v>74</v>
      </c>
    </row>
    <row r="20" spans="1:13" ht="24.75" customHeight="1">
      <c r="A20" s="202">
        <v>1</v>
      </c>
      <c r="B20" s="22" t="s">
        <v>9</v>
      </c>
      <c r="C20" s="204"/>
      <c r="D20" s="23">
        <f>SUM(F8/2)-1.875</f>
        <v>37.125</v>
      </c>
      <c r="E20" s="22">
        <f>SUM(4*F$6)</f>
        <v>4</v>
      </c>
      <c r="F20" s="206">
        <f>SUM(D20*E20/12+D21*E21/12)*1.413</f>
        <v>36.325875</v>
      </c>
      <c r="G20" s="207">
        <f>SUM((D20*E20+D21*E21)/12*2)</f>
        <v>51.416666666666664</v>
      </c>
      <c r="H20" s="209">
        <v>279500</v>
      </c>
      <c r="I20" s="25" t="s">
        <v>38</v>
      </c>
      <c r="J20" s="211" t="s">
        <v>23</v>
      </c>
      <c r="K20" s="191" t="s">
        <v>90</v>
      </c>
      <c r="L20" s="212" t="s">
        <v>82</v>
      </c>
      <c r="M20" s="214">
        <v>1.413</v>
      </c>
    </row>
    <row r="21" spans="1:13" ht="23.25" customHeight="1">
      <c r="A21" s="203"/>
      <c r="B21" s="22" t="s">
        <v>10</v>
      </c>
      <c r="C21" s="205"/>
      <c r="D21" s="23">
        <f>F9</f>
        <v>80</v>
      </c>
      <c r="E21" s="22">
        <f>SUM(2*F$6)</f>
        <v>2</v>
      </c>
      <c r="F21" s="190"/>
      <c r="G21" s="208"/>
      <c r="H21" s="210"/>
      <c r="I21" s="108" t="s">
        <v>35</v>
      </c>
      <c r="J21" s="211"/>
      <c r="K21" s="192"/>
      <c r="L21" s="213"/>
      <c r="M21" s="214"/>
    </row>
    <row r="22" spans="1:13" ht="37.5" customHeight="1">
      <c r="A22" s="24">
        <v>2</v>
      </c>
      <c r="B22" s="25" t="s">
        <v>11</v>
      </c>
      <c r="C22" s="25"/>
      <c r="D22" s="23">
        <f>SUM(F8-2.25)</f>
        <v>75.75</v>
      </c>
      <c r="E22" s="22">
        <f>SUM(2*F$6)</f>
        <v>2</v>
      </c>
      <c r="F22" s="26">
        <f>SUM(D22*E22/12*0.236)</f>
        <v>2.9795</v>
      </c>
      <c r="G22" s="110"/>
      <c r="H22" s="110"/>
      <c r="I22" s="22" t="s">
        <v>36</v>
      </c>
      <c r="J22" s="113" t="s">
        <v>24</v>
      </c>
      <c r="K22" s="93">
        <v>44078</v>
      </c>
      <c r="L22" s="118" t="s">
        <v>76</v>
      </c>
      <c r="M22" s="120">
        <v>0.236</v>
      </c>
    </row>
    <row r="23" spans="1:13" ht="27" customHeight="1">
      <c r="A23" s="109">
        <v>3</v>
      </c>
      <c r="B23" s="25" t="s">
        <v>12</v>
      </c>
      <c r="C23" s="107"/>
      <c r="D23" s="23">
        <f>SUM(F8-2.25)</f>
        <v>75.75</v>
      </c>
      <c r="E23" s="22">
        <f>SUM(1*F$6)</f>
        <v>1</v>
      </c>
      <c r="F23" s="105">
        <f>SUM(D23*E23/12)*0.142</f>
        <v>0.8963749999999999</v>
      </c>
      <c r="G23" s="99"/>
      <c r="H23" s="101"/>
      <c r="I23" s="22" t="s">
        <v>36</v>
      </c>
      <c r="J23" s="114" t="s">
        <v>25</v>
      </c>
      <c r="K23" s="116">
        <v>44077</v>
      </c>
      <c r="L23" s="118" t="s">
        <v>77</v>
      </c>
      <c r="M23" s="120">
        <v>0.142</v>
      </c>
    </row>
    <row r="24" spans="1:13" ht="27.75" customHeight="1">
      <c r="A24" s="24">
        <v>4</v>
      </c>
      <c r="B24" s="22" t="s">
        <v>85</v>
      </c>
      <c r="C24" s="22"/>
      <c r="D24" s="23">
        <f>SUM(F8-2.5)</f>
        <v>75.5</v>
      </c>
      <c r="E24" s="22">
        <f>SUM(2*F$6)</f>
        <v>2</v>
      </c>
      <c r="F24" s="28"/>
      <c r="G24" s="29">
        <f>SUM((D24*E24)/12)</f>
        <v>12.583333333333334</v>
      </c>
      <c r="H24" s="30">
        <v>306300</v>
      </c>
      <c r="I24" s="22" t="s">
        <v>36</v>
      </c>
      <c r="J24" s="31" t="s">
        <v>28</v>
      </c>
      <c r="K24" s="94"/>
      <c r="L24" s="118"/>
      <c r="M24" s="120"/>
    </row>
    <row r="25" spans="1:13" ht="23.25" customHeight="1">
      <c r="A25" s="195">
        <v>5</v>
      </c>
      <c r="B25" s="22" t="s">
        <v>13</v>
      </c>
      <c r="C25" s="204"/>
      <c r="D25" s="23">
        <f>SUM(F8/2)-0.375</f>
        <v>38.625</v>
      </c>
      <c r="E25" s="22">
        <f>SUM(4*F$6)</f>
        <v>4</v>
      </c>
      <c r="F25" s="206">
        <f>SUM(D25*E25/12+D26*E26/12)*1.036</f>
        <v>33.200562500000004</v>
      </c>
      <c r="G25" s="29">
        <f>SUM((D25*E25+D26*E26)/12)</f>
        <v>32.046875</v>
      </c>
      <c r="H25" s="32">
        <v>259800</v>
      </c>
      <c r="I25" s="22" t="s">
        <v>35</v>
      </c>
      <c r="J25" s="211" t="s">
        <v>23</v>
      </c>
      <c r="K25" s="191" t="s">
        <v>91</v>
      </c>
      <c r="L25" s="212" t="s">
        <v>81</v>
      </c>
      <c r="M25" s="214">
        <v>1.036</v>
      </c>
    </row>
    <row r="26" spans="1:13" ht="21" customHeight="1">
      <c r="A26" s="196"/>
      <c r="B26" s="22" t="s">
        <v>14</v>
      </c>
      <c r="C26" s="205"/>
      <c r="D26" s="23">
        <f>SUM(F9-3.3125)</f>
        <v>76.6875</v>
      </c>
      <c r="E26" s="22">
        <f>SUM(3*F$6)</f>
        <v>3</v>
      </c>
      <c r="F26" s="190"/>
      <c r="G26" s="29">
        <f>SUM((D26*E26+D25*E25)/12)</f>
        <v>32.046875</v>
      </c>
      <c r="H26" s="115">
        <v>306200</v>
      </c>
      <c r="I26" s="22" t="s">
        <v>35</v>
      </c>
      <c r="J26" s="211"/>
      <c r="K26" s="192"/>
      <c r="L26" s="213"/>
      <c r="M26" s="214"/>
    </row>
    <row r="27" spans="1:17" s="117" customFormat="1" ht="21" customHeight="1">
      <c r="A27" s="196"/>
      <c r="B27" s="185" t="s">
        <v>93</v>
      </c>
      <c r="C27" s="204"/>
      <c r="D27" s="187">
        <f>SUM(F9-3.3125)</f>
        <v>76.6875</v>
      </c>
      <c r="E27" s="185">
        <f>SUM(1*F$6)</f>
        <v>1</v>
      </c>
      <c r="F27" s="189">
        <f>SUM((D27*E27/12)*M27)</f>
        <v>19.8365</v>
      </c>
      <c r="G27" s="102">
        <f>SUM(D27*E27/12)</f>
        <v>6.390625</v>
      </c>
      <c r="H27" s="32">
        <v>259800</v>
      </c>
      <c r="I27" s="185" t="s">
        <v>35</v>
      </c>
      <c r="J27" s="193" t="s">
        <v>24</v>
      </c>
      <c r="K27" s="191" t="s">
        <v>139</v>
      </c>
      <c r="L27" s="181" t="s">
        <v>138</v>
      </c>
      <c r="M27" s="183">
        <v>3.104</v>
      </c>
      <c r="Q27" s="1"/>
    </row>
    <row r="28" spans="1:17" s="100" customFormat="1" ht="22.5" customHeight="1">
      <c r="A28" s="197"/>
      <c r="B28" s="186"/>
      <c r="C28" s="205"/>
      <c r="D28" s="188"/>
      <c r="E28" s="186"/>
      <c r="F28" s="190"/>
      <c r="G28" s="102">
        <f>SUM(D27*E27/12)</f>
        <v>6.390625</v>
      </c>
      <c r="H28" s="115">
        <v>306200</v>
      </c>
      <c r="I28" s="186"/>
      <c r="J28" s="194"/>
      <c r="K28" s="192"/>
      <c r="L28" s="182"/>
      <c r="M28" s="184"/>
      <c r="Q28" s="1"/>
    </row>
    <row r="29" spans="1:13" ht="24.75" customHeight="1">
      <c r="A29" s="202">
        <v>6</v>
      </c>
      <c r="B29" s="22" t="s">
        <v>15</v>
      </c>
      <c r="C29" s="204"/>
      <c r="D29" s="33">
        <f>SUM(D25-4.688)</f>
        <v>33.937</v>
      </c>
      <c r="E29" s="22">
        <f>SUM(4*F$6)</f>
        <v>4</v>
      </c>
      <c r="F29" s="206">
        <f>SUM(D29*E29/12+D30*E30/12)*0.113</f>
        <v>3.936147833333333</v>
      </c>
      <c r="G29" s="207"/>
      <c r="H29" s="207"/>
      <c r="I29" s="22" t="s">
        <v>36</v>
      </c>
      <c r="J29" s="193" t="s">
        <v>24</v>
      </c>
      <c r="K29" s="215">
        <v>44081</v>
      </c>
      <c r="L29" s="217" t="s">
        <v>78</v>
      </c>
      <c r="M29" s="214">
        <v>0.113</v>
      </c>
    </row>
    <row r="30" spans="1:13" ht="23.25" customHeight="1">
      <c r="A30" s="203"/>
      <c r="B30" s="22" t="s">
        <v>16</v>
      </c>
      <c r="C30" s="205"/>
      <c r="D30" s="33">
        <f>SUM(D26-6.125)</f>
        <v>70.5625</v>
      </c>
      <c r="E30" s="22">
        <f>SUM(4*F$6)</f>
        <v>4</v>
      </c>
      <c r="F30" s="190"/>
      <c r="G30" s="208"/>
      <c r="H30" s="208"/>
      <c r="I30" s="22" t="s">
        <v>36</v>
      </c>
      <c r="J30" s="194"/>
      <c r="K30" s="216"/>
      <c r="L30" s="217"/>
      <c r="M30" s="214"/>
    </row>
    <row r="31" spans="1:13" ht="24.75" customHeight="1" thickBot="1">
      <c r="A31" s="24">
        <v>7</v>
      </c>
      <c r="B31" s="22" t="s">
        <v>17</v>
      </c>
      <c r="C31" s="22"/>
      <c r="D31" s="23">
        <f>SUM(F9-3.3125)</f>
        <v>76.6875</v>
      </c>
      <c r="E31" s="22">
        <f>SUM(2*F$6)</f>
        <v>2</v>
      </c>
      <c r="F31" s="26">
        <f>SUM(D31*E31/12*0.21)</f>
        <v>2.6840625</v>
      </c>
      <c r="G31" s="110"/>
      <c r="H31" s="110"/>
      <c r="I31" s="22" t="s">
        <v>36</v>
      </c>
      <c r="J31" s="31" t="s">
        <v>26</v>
      </c>
      <c r="K31" s="122">
        <v>44079</v>
      </c>
      <c r="L31" s="119" t="s">
        <v>79</v>
      </c>
      <c r="M31" s="121">
        <v>0.21</v>
      </c>
    </row>
    <row r="32" spans="1:13" ht="27.75" customHeight="1">
      <c r="A32" s="24">
        <v>8</v>
      </c>
      <c r="B32" s="22" t="s">
        <v>83</v>
      </c>
      <c r="C32" s="22"/>
      <c r="D32" s="23">
        <f>SUM(F9-3.9375)</f>
        <v>76.0625</v>
      </c>
      <c r="E32" s="22">
        <f>SUM(2*F$6)</f>
        <v>2</v>
      </c>
      <c r="F32" s="28"/>
      <c r="G32" s="29">
        <f>SUM((D32*E32)/12)</f>
        <v>12.677083333333334</v>
      </c>
      <c r="H32" s="30">
        <v>311300</v>
      </c>
      <c r="I32" s="22" t="s">
        <v>36</v>
      </c>
      <c r="J32" s="31" t="s">
        <v>27</v>
      </c>
      <c r="K32" s="123"/>
      <c r="L32" s="123"/>
      <c r="M32" s="123"/>
    </row>
    <row r="33" spans="1:13" ht="24.75" customHeight="1">
      <c r="A33" s="202">
        <v>9</v>
      </c>
      <c r="B33" s="22" t="s">
        <v>86</v>
      </c>
      <c r="C33" s="204"/>
      <c r="D33" s="23">
        <f>SUM(F8-4)</f>
        <v>74</v>
      </c>
      <c r="E33" s="22">
        <f>SUM(2*F$6)</f>
        <v>2</v>
      </c>
      <c r="F33" s="218"/>
      <c r="G33" s="207">
        <f>SUM((D33*E33+D34*E34)/12)</f>
        <v>37.666666666666664</v>
      </c>
      <c r="H33" s="209">
        <v>354300</v>
      </c>
      <c r="I33" s="22" t="s">
        <v>36</v>
      </c>
      <c r="J33" s="211" t="s">
        <v>27</v>
      </c>
      <c r="K33" s="123"/>
      <c r="L33" s="123"/>
      <c r="M33" s="123"/>
    </row>
    <row r="34" spans="1:13" ht="20.25" customHeight="1">
      <c r="A34" s="203"/>
      <c r="B34" s="22" t="s">
        <v>87</v>
      </c>
      <c r="C34" s="205"/>
      <c r="D34" s="23">
        <f>SUM(F9-4)</f>
        <v>76</v>
      </c>
      <c r="E34" s="22">
        <f>SUM(F6*4)</f>
        <v>4</v>
      </c>
      <c r="F34" s="219"/>
      <c r="G34" s="208"/>
      <c r="H34" s="210"/>
      <c r="I34" s="22" t="s">
        <v>36</v>
      </c>
      <c r="J34" s="211"/>
      <c r="K34" s="123"/>
      <c r="L34" s="123"/>
      <c r="M34" s="123"/>
    </row>
    <row r="35" spans="1:13" ht="20.25" customHeight="1">
      <c r="A35" s="195">
        <v>10</v>
      </c>
      <c r="B35" s="22" t="s">
        <v>31</v>
      </c>
      <c r="C35" s="204"/>
      <c r="D35" s="23">
        <f>SUM(D25-30.125)</f>
        <v>8.5</v>
      </c>
      <c r="E35" s="22">
        <f>SUM(F6*1)</f>
        <v>1</v>
      </c>
      <c r="F35" s="34"/>
      <c r="G35" s="206">
        <f>SUM(D35*E35+D36*E36+D37*E37+D38*E38+D39*E39+D40*E40)/12</f>
        <v>13.546791666666666</v>
      </c>
      <c r="H35" s="111"/>
      <c r="I35" s="22" t="s">
        <v>36</v>
      </c>
      <c r="J35" s="223" t="s">
        <v>40</v>
      </c>
      <c r="K35" s="123"/>
      <c r="L35" s="123"/>
      <c r="M35" s="123"/>
    </row>
    <row r="36" spans="1:13" ht="20.25" customHeight="1">
      <c r="A36" s="196"/>
      <c r="B36" s="22" t="s">
        <v>32</v>
      </c>
      <c r="C36" s="220"/>
      <c r="D36" s="23">
        <v>3.9375</v>
      </c>
      <c r="E36" s="22">
        <f>SUM(F6*2)</f>
        <v>2</v>
      </c>
      <c r="F36" s="34"/>
      <c r="G36" s="221"/>
      <c r="H36" s="112"/>
      <c r="I36" s="22" t="s">
        <v>36</v>
      </c>
      <c r="J36" s="224"/>
      <c r="K36" s="124"/>
      <c r="L36" s="123"/>
      <c r="M36" s="123"/>
    </row>
    <row r="37" spans="1:13" ht="20.25" customHeight="1">
      <c r="A37" s="196"/>
      <c r="B37" s="22" t="s">
        <v>33</v>
      </c>
      <c r="C37" s="220"/>
      <c r="D37" s="23">
        <f>SUM(F11-15.688)</f>
        <v>24.686999999999998</v>
      </c>
      <c r="E37" s="22">
        <f>SUM(F6*2)</f>
        <v>2</v>
      </c>
      <c r="F37" s="34"/>
      <c r="G37" s="221"/>
      <c r="H37" s="221"/>
      <c r="I37" s="22" t="s">
        <v>36</v>
      </c>
      <c r="J37" s="224"/>
      <c r="K37" s="124"/>
      <c r="L37" s="123"/>
      <c r="M37" s="123"/>
    </row>
    <row r="38" spans="1:13" ht="23.25" customHeight="1">
      <c r="A38" s="196"/>
      <c r="B38" s="22" t="s">
        <v>34</v>
      </c>
      <c r="C38" s="220"/>
      <c r="D38" s="23">
        <v>1.5625</v>
      </c>
      <c r="E38" s="35">
        <f>SUM(F6*1)</f>
        <v>1</v>
      </c>
      <c r="F38" s="34"/>
      <c r="G38" s="221"/>
      <c r="H38" s="221"/>
      <c r="I38" s="22" t="s">
        <v>36</v>
      </c>
      <c r="J38" s="224"/>
      <c r="K38" s="124"/>
      <c r="L38" s="123"/>
      <c r="M38" s="123"/>
    </row>
    <row r="39" spans="1:13" ht="23.25" customHeight="1">
      <c r="A39" s="196"/>
      <c r="B39" s="22" t="s">
        <v>72</v>
      </c>
      <c r="C39" s="220"/>
      <c r="D39" s="23">
        <f>SUM(D26-F11-20.25)</f>
        <v>16.0625</v>
      </c>
      <c r="E39" s="35">
        <f>SUM(F6*2)</f>
        <v>2</v>
      </c>
      <c r="F39" s="34"/>
      <c r="G39" s="221"/>
      <c r="H39" s="221"/>
      <c r="I39" s="22" t="s">
        <v>36</v>
      </c>
      <c r="J39" s="224"/>
      <c r="K39" s="124"/>
      <c r="L39" s="123"/>
      <c r="M39" s="123"/>
    </row>
    <row r="40" spans="1:13" ht="23.25" customHeight="1">
      <c r="A40" s="197"/>
      <c r="B40" s="22" t="s">
        <v>70</v>
      </c>
      <c r="C40" s="205"/>
      <c r="D40" s="23">
        <f>SUM(D25-7.0625)</f>
        <v>31.5625</v>
      </c>
      <c r="E40" s="35">
        <f>SUM(F6*2)</f>
        <v>2</v>
      </c>
      <c r="F40" s="34"/>
      <c r="G40" s="222"/>
      <c r="H40" s="222"/>
      <c r="I40" s="22" t="s">
        <v>36</v>
      </c>
      <c r="J40" s="225"/>
      <c r="K40" s="124"/>
      <c r="L40" s="123"/>
      <c r="M40" s="123"/>
    </row>
    <row r="41" spans="1:13" ht="30" customHeight="1">
      <c r="A41" s="24">
        <v>11</v>
      </c>
      <c r="B41" s="22" t="s">
        <v>18</v>
      </c>
      <c r="C41" s="22"/>
      <c r="D41" s="23">
        <f>SUM((D26*6)+(D25*8))*F6</f>
        <v>769.125</v>
      </c>
      <c r="E41" s="23"/>
      <c r="F41" s="36"/>
      <c r="G41" s="37">
        <f>SUM(D41/12)</f>
        <v>64.09375</v>
      </c>
      <c r="H41" s="37"/>
      <c r="I41" s="22" t="s">
        <v>35</v>
      </c>
      <c r="J41" s="125" t="s">
        <v>40</v>
      </c>
      <c r="K41" s="124"/>
      <c r="L41" s="123"/>
      <c r="M41" s="123"/>
    </row>
    <row r="42" spans="1:13" ht="32.25" customHeight="1">
      <c r="A42" s="24">
        <v>12</v>
      </c>
      <c r="B42" s="22" t="s">
        <v>19</v>
      </c>
      <c r="C42" s="22"/>
      <c r="D42" s="23">
        <f>SUM(D25+D26)*8*F6</f>
        <v>922.5</v>
      </c>
      <c r="E42" s="23"/>
      <c r="F42" s="38"/>
      <c r="G42" s="37">
        <f>SUM(D42/12)</f>
        <v>76.875</v>
      </c>
      <c r="H42" s="37"/>
      <c r="I42" s="22" t="s">
        <v>35</v>
      </c>
      <c r="J42" s="125" t="s">
        <v>40</v>
      </c>
      <c r="K42" s="124"/>
      <c r="L42" s="123"/>
      <c r="M42" s="123"/>
    </row>
    <row r="43" spans="1:13" ht="31.5" customHeight="1" thickBot="1">
      <c r="A43" s="39">
        <v>13</v>
      </c>
      <c r="B43" s="40" t="s">
        <v>148</v>
      </c>
      <c r="C43" s="41"/>
      <c r="D43" s="42">
        <f>SUM(D26*2*F6)</f>
        <v>153.375</v>
      </c>
      <c r="E43" s="42"/>
      <c r="F43" s="43"/>
      <c r="G43" s="44">
        <f>SUM(D43/12)</f>
        <v>12.78125</v>
      </c>
      <c r="H43" s="45"/>
      <c r="I43" s="126" t="s">
        <v>36</v>
      </c>
      <c r="J43" s="127" t="s">
        <v>40</v>
      </c>
      <c r="K43" s="124"/>
      <c r="L43" s="123"/>
      <c r="M43" s="123"/>
    </row>
    <row r="44" spans="1:11" ht="15">
      <c r="A44" s="226" t="s">
        <v>64</v>
      </c>
      <c r="B44" s="226"/>
      <c r="C44" s="226"/>
      <c r="D44" s="226"/>
      <c r="E44" s="226"/>
      <c r="F44" s="226"/>
      <c r="G44" s="226"/>
      <c r="H44" s="46"/>
      <c r="I44" s="5"/>
      <c r="J44" s="5"/>
      <c r="K44" s="5"/>
    </row>
    <row r="45" spans="1:11" ht="15" customHeight="1">
      <c r="A45" s="47"/>
      <c r="B45" s="7"/>
      <c r="C45" s="7"/>
      <c r="D45" s="7"/>
      <c r="E45" s="7"/>
      <c r="F45" s="7"/>
      <c r="G45" s="7"/>
      <c r="H45" s="7"/>
      <c r="I45" s="5"/>
      <c r="J45" s="5"/>
      <c r="K45" s="5"/>
    </row>
    <row r="46" spans="1:11" ht="15" customHeight="1">
      <c r="A46" s="7"/>
      <c r="B46" s="8"/>
      <c r="C46" s="8"/>
      <c r="D46" s="8"/>
      <c r="E46" s="8"/>
      <c r="F46" s="8"/>
      <c r="G46" s="8"/>
      <c r="H46" s="84"/>
      <c r="I46" s="5"/>
      <c r="J46" s="5"/>
      <c r="K46" s="5"/>
    </row>
    <row r="47" spans="1:11" ht="15" customHeight="1" thickBot="1">
      <c r="A47" s="84"/>
      <c r="B47" s="84"/>
      <c r="C47" s="84"/>
      <c r="D47" s="84"/>
      <c r="E47" s="84"/>
      <c r="F47" s="84"/>
      <c r="G47" s="84"/>
      <c r="H47" s="84"/>
      <c r="I47" s="5"/>
      <c r="J47" s="5"/>
      <c r="K47" s="5"/>
    </row>
    <row r="48" spans="1:11" ht="15" customHeight="1">
      <c r="A48" s="7"/>
      <c r="B48" s="229" t="s">
        <v>47</v>
      </c>
      <c r="C48" s="230"/>
      <c r="D48" s="230"/>
      <c r="E48" s="231"/>
      <c r="F48" s="229" t="s">
        <v>52</v>
      </c>
      <c r="G48" s="230"/>
      <c r="H48" s="230"/>
      <c r="I48" s="230"/>
      <c r="J48" s="231"/>
      <c r="K48" s="88"/>
    </row>
    <row r="49" spans="1:11" ht="15" customHeight="1" thickBot="1">
      <c r="A49" s="7"/>
      <c r="B49" s="232"/>
      <c r="C49" s="233"/>
      <c r="D49" s="233"/>
      <c r="E49" s="234"/>
      <c r="F49" s="235"/>
      <c r="G49" s="236"/>
      <c r="H49" s="236"/>
      <c r="I49" s="236"/>
      <c r="J49" s="237"/>
      <c r="K49" s="88"/>
    </row>
    <row r="50" spans="1:11" ht="14.25">
      <c r="A50" s="238" t="s">
        <v>55</v>
      </c>
      <c r="B50" s="174" t="s">
        <v>43</v>
      </c>
      <c r="C50" s="175" t="s">
        <v>0</v>
      </c>
      <c r="D50" s="176"/>
      <c r="E50" s="177"/>
      <c r="F50" s="170" t="s">
        <v>43</v>
      </c>
      <c r="G50" s="49" t="s">
        <v>0</v>
      </c>
      <c r="H50" s="49" t="s">
        <v>62</v>
      </c>
      <c r="I50" s="51" t="s">
        <v>50</v>
      </c>
      <c r="J50" s="50" t="s">
        <v>45</v>
      </c>
      <c r="K50" s="89"/>
    </row>
    <row r="51" spans="1:11" ht="14.25">
      <c r="A51" s="239"/>
      <c r="B51" s="24" t="s">
        <v>42</v>
      </c>
      <c r="C51" s="52">
        <f>SUM(F20:F43)</f>
        <v>99.85902283333334</v>
      </c>
      <c r="D51" s="160"/>
      <c r="E51" s="164"/>
      <c r="F51" s="171" t="s">
        <v>48</v>
      </c>
      <c r="G51" s="22">
        <f>SUM(F6*1)</f>
        <v>1</v>
      </c>
      <c r="H51" s="27">
        <f>SUM(G51*0.33)</f>
        <v>0.33</v>
      </c>
      <c r="I51" s="74"/>
      <c r="J51" s="54">
        <f>SUM(H51*I51)</f>
        <v>0</v>
      </c>
      <c r="K51" s="90"/>
    </row>
    <row r="52" spans="1:11" ht="15" thickBot="1">
      <c r="A52" s="239"/>
      <c r="B52" s="24" t="s">
        <v>56</v>
      </c>
      <c r="C52" s="52">
        <f>SUM(G20)</f>
        <v>51.416666666666664</v>
      </c>
      <c r="D52" s="160"/>
      <c r="E52" s="164"/>
      <c r="F52" s="172" t="s">
        <v>49</v>
      </c>
      <c r="G52" s="41">
        <f>SUM(F6*2)</f>
        <v>2</v>
      </c>
      <c r="H52" s="55">
        <f>SUM(G52*0.67)</f>
        <v>1.34</v>
      </c>
      <c r="I52" s="75"/>
      <c r="J52" s="56">
        <f>SUM(H52*I52)</f>
        <v>0</v>
      </c>
      <c r="K52" s="90"/>
    </row>
    <row r="53" spans="1:11" ht="14.25">
      <c r="A53" s="239"/>
      <c r="B53" s="24" t="s">
        <v>57</v>
      </c>
      <c r="C53" s="52">
        <f>SUM(G24)</f>
        <v>12.583333333333334</v>
      </c>
      <c r="D53" s="160"/>
      <c r="E53" s="164"/>
      <c r="F53" s="7"/>
      <c r="G53" s="7"/>
      <c r="H53" s="5"/>
      <c r="I53" s="57" t="s">
        <v>51</v>
      </c>
      <c r="J53" s="58">
        <f>SUM(J51:J52)</f>
        <v>0</v>
      </c>
      <c r="K53" s="58"/>
    </row>
    <row r="54" spans="1:11" ht="15" customHeight="1">
      <c r="A54" s="239"/>
      <c r="B54" s="24" t="s">
        <v>69</v>
      </c>
      <c r="C54" s="52">
        <f>SUM(G25+G27)</f>
        <v>38.4375</v>
      </c>
      <c r="D54" s="160"/>
      <c r="E54" s="164"/>
      <c r="F54" s="241" t="s">
        <v>92</v>
      </c>
      <c r="G54" s="242"/>
      <c r="H54" s="242"/>
      <c r="I54" s="242"/>
      <c r="J54" s="242"/>
      <c r="K54" s="83"/>
    </row>
    <row r="55" spans="1:11" ht="14.25">
      <c r="A55" s="239"/>
      <c r="B55" s="24" t="s">
        <v>58</v>
      </c>
      <c r="C55" s="52">
        <f>SUM(G26+G28)</f>
        <v>38.4375</v>
      </c>
      <c r="D55" s="160"/>
      <c r="E55" s="164"/>
      <c r="F55" s="243"/>
      <c r="G55" s="242"/>
      <c r="H55" s="242"/>
      <c r="I55" s="242"/>
      <c r="J55" s="242"/>
      <c r="K55" s="83"/>
    </row>
    <row r="56" spans="1:11" ht="14.25">
      <c r="A56" s="239"/>
      <c r="B56" s="24" t="s">
        <v>59</v>
      </c>
      <c r="C56" s="52">
        <f>SUM(G32)</f>
        <v>12.677083333333334</v>
      </c>
      <c r="D56" s="160"/>
      <c r="E56" s="164"/>
      <c r="F56" s="8"/>
      <c r="G56" s="8"/>
      <c r="H56" s="5"/>
      <c r="I56" s="5"/>
      <c r="J56" s="5"/>
      <c r="K56" s="5"/>
    </row>
    <row r="57" spans="1:11" ht="14.25">
      <c r="A57" s="239"/>
      <c r="B57" s="24" t="s">
        <v>60</v>
      </c>
      <c r="C57" s="52">
        <f>SUM(G33)</f>
        <v>37.666666666666664</v>
      </c>
      <c r="D57" s="160"/>
      <c r="E57" s="164"/>
      <c r="F57" s="8"/>
      <c r="G57" s="8"/>
      <c r="H57" s="5"/>
      <c r="I57" s="5"/>
      <c r="J57" s="5"/>
      <c r="K57" s="5"/>
    </row>
    <row r="58" spans="1:11" ht="15" thickBot="1">
      <c r="A58" s="240"/>
      <c r="B58" s="24" t="s">
        <v>94</v>
      </c>
      <c r="C58" s="52">
        <f>SUM(G35)</f>
        <v>13.546791666666666</v>
      </c>
      <c r="D58" s="165"/>
      <c r="E58" s="164"/>
      <c r="F58" s="8"/>
      <c r="G58" s="8"/>
      <c r="H58" s="5"/>
      <c r="I58" s="5"/>
      <c r="J58" s="5"/>
      <c r="K58" s="5"/>
    </row>
    <row r="59" spans="1:11" ht="15">
      <c r="A59" s="244" t="s">
        <v>54</v>
      </c>
      <c r="B59" s="24" t="s">
        <v>95</v>
      </c>
      <c r="C59" s="52">
        <f>SUM(G41)</f>
        <v>64.09375</v>
      </c>
      <c r="D59" s="165"/>
      <c r="E59" s="164"/>
      <c r="F59" s="230" t="s">
        <v>65</v>
      </c>
      <c r="G59" s="230"/>
      <c r="H59" s="230"/>
      <c r="I59" s="230"/>
      <c r="J59" s="231"/>
      <c r="K59" s="88"/>
    </row>
    <row r="60" spans="1:11" ht="15" customHeight="1">
      <c r="A60" s="245"/>
      <c r="B60" s="24" t="s">
        <v>110</v>
      </c>
      <c r="C60" s="52">
        <f>SUM(G42)</f>
        <v>76.875</v>
      </c>
      <c r="D60" s="160"/>
      <c r="E60" s="164"/>
      <c r="F60" s="236"/>
      <c r="G60" s="236"/>
      <c r="H60" s="236"/>
      <c r="I60" s="236"/>
      <c r="J60" s="237"/>
      <c r="K60" s="88"/>
    </row>
    <row r="61" spans="1:11" ht="15" customHeight="1">
      <c r="A61" s="245"/>
      <c r="B61" s="24" t="s">
        <v>150</v>
      </c>
      <c r="C61" s="52">
        <f>SUM(G43)</f>
        <v>12.78125</v>
      </c>
      <c r="D61" s="160"/>
      <c r="E61" s="164"/>
      <c r="F61" s="170" t="s">
        <v>43</v>
      </c>
      <c r="G61" s="49" t="s">
        <v>0</v>
      </c>
      <c r="H61" s="49" t="s">
        <v>66</v>
      </c>
      <c r="I61" s="51" t="s">
        <v>67</v>
      </c>
      <c r="J61" s="50" t="s">
        <v>45</v>
      </c>
      <c r="K61" s="89"/>
    </row>
    <row r="62" spans="1:11" ht="15" thickBot="1">
      <c r="A62" s="245"/>
      <c r="B62" s="24" t="s">
        <v>135</v>
      </c>
      <c r="C62" s="22">
        <f>SUM(F6*1)</f>
        <v>1</v>
      </c>
      <c r="D62" s="165"/>
      <c r="E62" s="164"/>
      <c r="F62" s="173" t="s">
        <v>3</v>
      </c>
      <c r="G62" s="85">
        <f>SUM(F6*2)</f>
        <v>2</v>
      </c>
      <c r="H62" s="59">
        <f>SUM((F14*F15/144)*F6*2)</f>
        <v>33.387197916666665</v>
      </c>
      <c r="I62" s="75"/>
      <c r="J62" s="60">
        <f>SUM(H62*I62)</f>
        <v>0</v>
      </c>
      <c r="K62" s="90"/>
    </row>
    <row r="63" spans="1:11" ht="14.25">
      <c r="A63" s="245"/>
      <c r="B63" s="24" t="s">
        <v>96</v>
      </c>
      <c r="C63" s="22">
        <f>SUM(F6*5)</f>
        <v>5</v>
      </c>
      <c r="D63" s="165"/>
      <c r="E63" s="164"/>
      <c r="F63" s="62"/>
      <c r="G63" s="62"/>
      <c r="H63" s="63"/>
      <c r="I63" s="57" t="s">
        <v>51</v>
      </c>
      <c r="J63" s="64">
        <f>SUM(J62)</f>
        <v>0</v>
      </c>
      <c r="K63" s="91"/>
    </row>
    <row r="64" spans="1:11" ht="14.25">
      <c r="A64" s="245"/>
      <c r="B64" s="96" t="s">
        <v>97</v>
      </c>
      <c r="C64" s="22">
        <f>SUM(F6*1)</f>
        <v>1</v>
      </c>
      <c r="D64" s="165"/>
      <c r="E64" s="164"/>
      <c r="F64" s="8"/>
      <c r="G64" s="8"/>
      <c r="H64" s="8"/>
      <c r="I64" s="5"/>
      <c r="J64" s="5"/>
      <c r="K64" s="5"/>
    </row>
    <row r="65" spans="1:11" ht="15" customHeight="1">
      <c r="A65" s="245"/>
      <c r="B65" s="96" t="s">
        <v>98</v>
      </c>
      <c r="C65" s="22">
        <f>SUM(F6*1)</f>
        <v>1</v>
      </c>
      <c r="D65" s="165"/>
      <c r="E65" s="164"/>
      <c r="F65" s="8"/>
      <c r="G65" s="8"/>
      <c r="H65" s="65"/>
      <c r="I65" s="65"/>
      <c r="J65" s="5"/>
      <c r="K65" s="5"/>
    </row>
    <row r="66" spans="1:11" ht="14.25">
      <c r="A66" s="245"/>
      <c r="B66" s="24" t="s">
        <v>99</v>
      </c>
      <c r="C66" s="22">
        <f>SUM(F6*1)</f>
        <v>1</v>
      </c>
      <c r="D66" s="165"/>
      <c r="E66" s="164"/>
      <c r="F66" s="8"/>
      <c r="G66" s="8"/>
      <c r="H66" s="65"/>
      <c r="I66" s="65"/>
      <c r="J66" s="5"/>
      <c r="K66" s="5"/>
    </row>
    <row r="67" spans="1:11" ht="15" thickBot="1">
      <c r="A67" s="245"/>
      <c r="B67" s="24" t="s">
        <v>100</v>
      </c>
      <c r="C67" s="22">
        <f>SUM(F6*2)</f>
        <v>2</v>
      </c>
      <c r="D67" s="165"/>
      <c r="E67" s="164"/>
      <c r="F67" s="8"/>
      <c r="G67" s="8"/>
      <c r="H67" s="8"/>
      <c r="I67" s="5"/>
      <c r="J67" s="5"/>
      <c r="K67" s="5"/>
    </row>
    <row r="68" spans="1:11" ht="15">
      <c r="A68" s="245"/>
      <c r="B68" s="24" t="s">
        <v>101</v>
      </c>
      <c r="C68" s="22">
        <f>SUM(F6*16)</f>
        <v>16</v>
      </c>
      <c r="D68" s="165"/>
      <c r="E68" s="164"/>
      <c r="F68" s="230" t="s">
        <v>53</v>
      </c>
      <c r="G68" s="230"/>
      <c r="H68" s="230"/>
      <c r="I68" s="230"/>
      <c r="J68" s="231"/>
      <c r="K68" s="88"/>
    </row>
    <row r="69" spans="1:11" ht="15">
      <c r="A69" s="245"/>
      <c r="B69" s="24" t="s">
        <v>102</v>
      </c>
      <c r="C69" s="22">
        <f>SUM(F6*8)</f>
        <v>8</v>
      </c>
      <c r="D69" s="165"/>
      <c r="E69" s="164"/>
      <c r="F69" s="236"/>
      <c r="G69" s="236"/>
      <c r="H69" s="236"/>
      <c r="I69" s="236"/>
      <c r="J69" s="237"/>
      <c r="K69" s="88"/>
    </row>
    <row r="70" spans="1:11" ht="15" thickBot="1">
      <c r="A70" s="245"/>
      <c r="B70" s="24" t="s">
        <v>103</v>
      </c>
      <c r="C70" s="22">
        <f>SUM(F6*4)</f>
        <v>4</v>
      </c>
      <c r="D70" s="52"/>
      <c r="E70" s="53"/>
      <c r="F70" s="247" t="s">
        <v>68</v>
      </c>
      <c r="G70" s="247"/>
      <c r="H70" s="247"/>
      <c r="I70" s="66"/>
      <c r="J70" s="67">
        <f>SUM(E78+J53+J63)</f>
        <v>0</v>
      </c>
      <c r="K70" s="95"/>
    </row>
    <row r="71" spans="1:11" ht="14.25">
      <c r="A71" s="245"/>
      <c r="B71" s="24" t="s">
        <v>104</v>
      </c>
      <c r="C71" s="22">
        <f>SUM(F6*4)</f>
        <v>4</v>
      </c>
      <c r="D71" s="52"/>
      <c r="E71" s="53"/>
      <c r="F71" s="8"/>
      <c r="G71" s="8"/>
      <c r="H71" s="8"/>
      <c r="I71" s="5"/>
      <c r="J71" s="5"/>
      <c r="K71" s="5"/>
    </row>
    <row r="72" spans="1:11" ht="14.25">
      <c r="A72" s="245"/>
      <c r="B72" s="162" t="s">
        <v>115</v>
      </c>
      <c r="C72" s="163">
        <f>SUM(F6*1)</f>
        <v>1</v>
      </c>
      <c r="D72" s="68"/>
      <c r="E72" s="53"/>
      <c r="F72" s="8"/>
      <c r="G72" s="8"/>
      <c r="H72" s="8"/>
      <c r="I72" s="5"/>
      <c r="J72" s="5"/>
      <c r="K72" s="5"/>
    </row>
    <row r="73" spans="1:17" s="131" customFormat="1" ht="14.25">
      <c r="A73" s="245"/>
      <c r="B73" s="162" t="s">
        <v>116</v>
      </c>
      <c r="C73" s="163">
        <f>SUM(F6*1)</f>
        <v>1</v>
      </c>
      <c r="D73" s="68"/>
      <c r="E73" s="53"/>
      <c r="F73" s="8"/>
      <c r="G73" s="8"/>
      <c r="H73" s="8"/>
      <c r="I73" s="5"/>
      <c r="J73" s="5"/>
      <c r="K73" s="5"/>
      <c r="Q73" s="1"/>
    </row>
    <row r="74" spans="1:17" s="97" customFormat="1" ht="14.25">
      <c r="A74" s="245"/>
      <c r="B74" s="162" t="s">
        <v>106</v>
      </c>
      <c r="C74" s="163">
        <f>SUM(F6*1)</f>
        <v>1</v>
      </c>
      <c r="D74" s="68"/>
      <c r="E74" s="98"/>
      <c r="F74" s="8"/>
      <c r="G74" s="8"/>
      <c r="H74" s="8"/>
      <c r="I74" s="5"/>
      <c r="J74" s="5"/>
      <c r="K74" s="5"/>
      <c r="Q74" s="1"/>
    </row>
    <row r="75" spans="1:17" s="106" customFormat="1" ht="14.25">
      <c r="A75" s="245"/>
      <c r="B75" s="162" t="s">
        <v>107</v>
      </c>
      <c r="C75" s="163">
        <f>SUM(F6*2)</f>
        <v>2</v>
      </c>
      <c r="D75" s="68"/>
      <c r="E75" s="53"/>
      <c r="F75" s="8"/>
      <c r="G75" s="8"/>
      <c r="H75" s="8"/>
      <c r="I75" s="5"/>
      <c r="J75" s="5"/>
      <c r="K75" s="5"/>
      <c r="Q75" s="1"/>
    </row>
    <row r="76" spans="1:17" s="128" customFormat="1" ht="14.25">
      <c r="A76" s="245"/>
      <c r="B76" s="162" t="s">
        <v>108</v>
      </c>
      <c r="C76" s="163">
        <f>SUM(F6*1)</f>
        <v>1</v>
      </c>
      <c r="D76" s="68"/>
      <c r="E76" s="178"/>
      <c r="F76" s="8"/>
      <c r="G76" s="8"/>
      <c r="H76" s="8"/>
      <c r="I76" s="5"/>
      <c r="J76" s="5"/>
      <c r="K76" s="5"/>
      <c r="Q76" s="1"/>
    </row>
    <row r="77" spans="1:11" ht="15" thickBot="1">
      <c r="A77" s="246"/>
      <c r="B77" s="39" t="s">
        <v>109</v>
      </c>
      <c r="C77" s="41">
        <f>SUM(F6*1)</f>
        <v>1</v>
      </c>
      <c r="D77" s="69"/>
      <c r="E77" s="179"/>
      <c r="F77" s="8"/>
      <c r="G77" s="8"/>
      <c r="H77" s="8"/>
      <c r="I77" s="5"/>
      <c r="J77" s="5"/>
      <c r="K77" s="5"/>
    </row>
    <row r="78" spans="1:11" ht="14.25">
      <c r="A78" s="7"/>
      <c r="B78" s="8"/>
      <c r="C78" s="8"/>
      <c r="D78" s="71" t="s">
        <v>51</v>
      </c>
      <c r="E78" s="72">
        <f>SUM(E51:E77)</f>
        <v>0</v>
      </c>
      <c r="F78" s="8"/>
      <c r="G78" s="8"/>
      <c r="H78" s="8"/>
      <c r="I78" s="5"/>
      <c r="J78" s="5"/>
      <c r="K78" s="5"/>
    </row>
    <row r="79" spans="1:6" ht="14.25">
      <c r="A79" s="3"/>
      <c r="B79" s="3"/>
      <c r="C79" s="3"/>
      <c r="D79" s="3"/>
      <c r="E79" s="3"/>
      <c r="F79" s="3"/>
    </row>
    <row r="80" spans="1:11" ht="14.25">
      <c r="A80" s="228" t="s">
        <v>147</v>
      </c>
      <c r="B80" s="228"/>
      <c r="C80" s="228"/>
      <c r="D80" s="228"/>
      <c r="E80" s="228"/>
      <c r="F80" s="228"/>
      <c r="G80" s="228"/>
      <c r="H80" s="228"/>
      <c r="I80" s="3"/>
      <c r="J80" s="3"/>
      <c r="K80" s="3"/>
    </row>
    <row r="81" spans="1:8" ht="23.25" customHeight="1">
      <c r="A81" s="228"/>
      <c r="B81" s="228"/>
      <c r="C81" s="228"/>
      <c r="D81" s="228"/>
      <c r="E81" s="228"/>
      <c r="F81" s="228"/>
      <c r="G81" s="228"/>
      <c r="H81" s="228"/>
    </row>
    <row r="86" ht="14.25">
      <c r="E86" s="98">
        <f>SUM(C76*D76)</f>
        <v>0</v>
      </c>
    </row>
    <row r="87" ht="15" thickBot="1">
      <c r="E87" s="70">
        <f>SUM(C77*D77)</f>
        <v>0</v>
      </c>
    </row>
  </sheetData>
  <sheetProtection/>
  <mergeCells count="62">
    <mergeCell ref="G11:I11"/>
    <mergeCell ref="A80:H81"/>
    <mergeCell ref="B48:E49"/>
    <mergeCell ref="F48:J49"/>
    <mergeCell ref="A50:A58"/>
    <mergeCell ref="F54:J55"/>
    <mergeCell ref="A59:A77"/>
    <mergeCell ref="F59:J60"/>
    <mergeCell ref="F68:J69"/>
    <mergeCell ref="F70:H70"/>
    <mergeCell ref="A35:A40"/>
    <mergeCell ref="C35:C40"/>
    <mergeCell ref="G35:G40"/>
    <mergeCell ref="J35:J40"/>
    <mergeCell ref="H37:H40"/>
    <mergeCell ref="A44:G44"/>
    <mergeCell ref="A33:A34"/>
    <mergeCell ref="C33:C34"/>
    <mergeCell ref="F33:F34"/>
    <mergeCell ref="G33:G34"/>
    <mergeCell ref="H33:H34"/>
    <mergeCell ref="J33:J34"/>
    <mergeCell ref="M25:M26"/>
    <mergeCell ref="A29:A30"/>
    <mergeCell ref="C29:C30"/>
    <mergeCell ref="F29:F30"/>
    <mergeCell ref="G29:G30"/>
    <mergeCell ref="H29:H30"/>
    <mergeCell ref="J29:J30"/>
    <mergeCell ref="K29:K30"/>
    <mergeCell ref="L29:L30"/>
    <mergeCell ref="M29:M30"/>
    <mergeCell ref="H20:H21"/>
    <mergeCell ref="J20:J21"/>
    <mergeCell ref="K20:K21"/>
    <mergeCell ref="L20:L21"/>
    <mergeCell ref="M20:M21"/>
    <mergeCell ref="C25:C26"/>
    <mergeCell ref="F25:F26"/>
    <mergeCell ref="J25:J26"/>
    <mergeCell ref="K25:K26"/>
    <mergeCell ref="L25:L26"/>
    <mergeCell ref="A25:A28"/>
    <mergeCell ref="A1:G1"/>
    <mergeCell ref="A2:G2"/>
    <mergeCell ref="E13:F13"/>
    <mergeCell ref="B17:C17"/>
    <mergeCell ref="A20:A21"/>
    <mergeCell ref="C20:C21"/>
    <mergeCell ref="F20:F21"/>
    <mergeCell ref="G20:G21"/>
    <mergeCell ref="C27:C28"/>
    <mergeCell ref="H1:I1"/>
    <mergeCell ref="L27:L28"/>
    <mergeCell ref="M27:M28"/>
    <mergeCell ref="B27:B28"/>
    <mergeCell ref="D27:D28"/>
    <mergeCell ref="E27:E28"/>
    <mergeCell ref="F27:F28"/>
    <mergeCell ref="K27:K28"/>
    <mergeCell ref="I27:I28"/>
    <mergeCell ref="J27:J28"/>
  </mergeCells>
  <printOptions horizontalCentered="1"/>
  <pageMargins left="0.5" right="0.5" top="0.25" bottom="0.25" header="0.3" footer="0.3"/>
  <pageSetup fitToHeight="1" fitToWidth="1"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8"/>
  <sheetViews>
    <sheetView zoomScale="90" zoomScaleNormal="90" workbookViewId="0" topLeftCell="A46">
      <selection activeCell="N57" sqref="N57"/>
    </sheetView>
  </sheetViews>
  <sheetFormatPr defaultColWidth="8.88671875" defaultRowHeight="15"/>
  <cols>
    <col min="1" max="1" width="6.21484375" style="2" customWidth="1"/>
    <col min="2" max="2" width="26.88671875" style="4" bestFit="1" customWidth="1"/>
    <col min="3" max="3" width="10.4453125" style="4" customWidth="1"/>
    <col min="4" max="4" width="11.4453125" style="4" customWidth="1"/>
    <col min="5" max="5" width="9.21484375" style="4" customWidth="1"/>
    <col min="6" max="6" width="11.10546875" style="4" customWidth="1"/>
    <col min="7" max="7" width="12.3359375" style="4" bestFit="1" customWidth="1"/>
    <col min="8" max="8" width="12.3359375" style="4" customWidth="1"/>
    <col min="9" max="9" width="11.6640625" style="0" bestFit="1" customWidth="1"/>
    <col min="10" max="10" width="10.4453125" style="0" bestFit="1" customWidth="1"/>
    <col min="11" max="11" width="10.4453125" style="0" customWidth="1"/>
    <col min="12" max="12" width="25.3359375" style="0" bestFit="1" customWidth="1"/>
    <col min="17" max="17" width="8.88671875" style="1" customWidth="1"/>
  </cols>
  <sheetData>
    <row r="1" spans="1:11" ht="15" customHeight="1">
      <c r="A1" s="198" t="s">
        <v>114</v>
      </c>
      <c r="B1" s="198"/>
      <c r="C1" s="198"/>
      <c r="D1" s="198"/>
      <c r="E1" s="198"/>
      <c r="F1" s="198"/>
      <c r="G1" s="198"/>
      <c r="H1" s="180" t="s">
        <v>153</v>
      </c>
      <c r="I1" s="180"/>
      <c r="J1" s="5"/>
      <c r="K1" s="5"/>
    </row>
    <row r="2" spans="1:11" ht="15" customHeight="1">
      <c r="A2" s="198" t="s">
        <v>63</v>
      </c>
      <c r="B2" s="198"/>
      <c r="C2" s="198"/>
      <c r="D2" s="198"/>
      <c r="E2" s="198"/>
      <c r="F2" s="198"/>
      <c r="G2" s="198"/>
      <c r="H2" s="87"/>
      <c r="I2" s="6"/>
      <c r="J2" s="6"/>
      <c r="K2" s="6"/>
    </row>
    <row r="3" spans="1:11" ht="15">
      <c r="A3" s="7"/>
      <c r="B3" s="8"/>
      <c r="C3" s="8"/>
      <c r="D3" s="8"/>
      <c r="E3" s="8"/>
      <c r="F3" s="8"/>
      <c r="G3" s="8"/>
      <c r="H3" s="8"/>
      <c r="I3" s="5"/>
      <c r="J3" s="5"/>
      <c r="K3" s="5"/>
    </row>
    <row r="4" spans="1:11" ht="15">
      <c r="A4" s="7"/>
      <c r="B4" s="8"/>
      <c r="C4" s="8"/>
      <c r="D4" s="8"/>
      <c r="E4" s="8"/>
      <c r="F4" s="8"/>
      <c r="G4" s="8"/>
      <c r="H4" s="8"/>
      <c r="I4" s="5"/>
      <c r="J4" s="5"/>
      <c r="K4" s="5"/>
    </row>
    <row r="5" spans="1:11" ht="15">
      <c r="A5" s="7"/>
      <c r="B5" s="8"/>
      <c r="C5" s="8"/>
      <c r="D5" s="8"/>
      <c r="E5" s="8"/>
      <c r="F5" s="8"/>
      <c r="G5" s="8"/>
      <c r="H5" s="8"/>
      <c r="I5" s="5"/>
      <c r="J5" s="5"/>
      <c r="K5" s="5"/>
    </row>
    <row r="6" spans="1:11" ht="15">
      <c r="A6" s="7"/>
      <c r="B6" s="8"/>
      <c r="C6" s="8"/>
      <c r="D6" s="8"/>
      <c r="E6" s="9" t="s">
        <v>6</v>
      </c>
      <c r="F6" s="73">
        <v>1</v>
      </c>
      <c r="G6" s="8"/>
      <c r="H6" s="8"/>
      <c r="I6" s="5"/>
      <c r="J6" s="5"/>
      <c r="K6" s="5"/>
    </row>
    <row r="7" spans="1:11" ht="15">
      <c r="A7" s="7"/>
      <c r="B7" s="8"/>
      <c r="C7" s="8"/>
      <c r="D7" s="8"/>
      <c r="E7" s="10"/>
      <c r="F7" s="11"/>
      <c r="G7" s="8"/>
      <c r="H7" s="8"/>
      <c r="I7" s="5"/>
      <c r="J7" s="5"/>
      <c r="K7" s="5"/>
    </row>
    <row r="8" spans="1:11" ht="15">
      <c r="A8" s="7"/>
      <c r="B8" s="8"/>
      <c r="C8" s="8"/>
      <c r="D8" s="8"/>
      <c r="E8" s="9" t="s">
        <v>7</v>
      </c>
      <c r="F8" s="79">
        <v>78</v>
      </c>
      <c r="G8" s="8"/>
      <c r="H8" s="8"/>
      <c r="I8" s="5"/>
      <c r="J8" s="5"/>
      <c r="K8" s="5"/>
    </row>
    <row r="9" spans="1:11" ht="15">
      <c r="A9" s="7"/>
      <c r="B9" s="8"/>
      <c r="C9" s="8"/>
      <c r="D9" s="8"/>
      <c r="E9" s="12" t="s">
        <v>8</v>
      </c>
      <c r="F9" s="80">
        <v>80</v>
      </c>
      <c r="G9" s="8"/>
      <c r="H9" s="8"/>
      <c r="I9" s="5"/>
      <c r="J9" s="5"/>
      <c r="K9" s="5"/>
    </row>
    <row r="10" spans="1:11" ht="15">
      <c r="A10" s="7"/>
      <c r="B10" s="8"/>
      <c r="C10" s="8"/>
      <c r="D10" s="8"/>
      <c r="E10" s="13"/>
      <c r="F10" s="13"/>
      <c r="G10" s="8"/>
      <c r="H10" s="8"/>
      <c r="I10" s="5"/>
      <c r="J10" s="5"/>
      <c r="K10" s="5"/>
    </row>
    <row r="11" spans="1:11" ht="15">
      <c r="A11" s="7"/>
      <c r="B11" s="8"/>
      <c r="C11" s="8"/>
      <c r="D11" s="8"/>
      <c r="E11" s="130" t="s">
        <v>112</v>
      </c>
      <c r="F11" s="79">
        <v>40.375</v>
      </c>
      <c r="G11" s="227" t="s">
        <v>111</v>
      </c>
      <c r="H11" s="227"/>
      <c r="I11" s="227"/>
      <c r="J11" s="5"/>
      <c r="K11" s="5"/>
    </row>
    <row r="12" spans="1:11" ht="15">
      <c r="A12" s="7"/>
      <c r="B12" s="8"/>
      <c r="C12" s="8"/>
      <c r="D12" s="8"/>
      <c r="E12" s="8"/>
      <c r="F12" s="8"/>
      <c r="G12" s="8"/>
      <c r="H12" s="8"/>
      <c r="I12" s="5"/>
      <c r="J12" s="5"/>
      <c r="K12" s="5"/>
    </row>
    <row r="13" spans="1:11" ht="15">
      <c r="A13" s="7"/>
      <c r="B13" s="8"/>
      <c r="C13" s="8"/>
      <c r="D13" s="8"/>
      <c r="E13" s="199" t="s">
        <v>3</v>
      </c>
      <c r="F13" s="200"/>
      <c r="G13" s="14"/>
      <c r="H13" s="14"/>
      <c r="I13" s="5"/>
      <c r="J13" s="5"/>
      <c r="K13" s="5"/>
    </row>
    <row r="14" spans="1:11" ht="15">
      <c r="A14" s="7"/>
      <c r="B14" s="8"/>
      <c r="C14" s="8"/>
      <c r="D14" s="8"/>
      <c r="E14" s="9" t="s">
        <v>7</v>
      </c>
      <c r="F14" s="15">
        <f>SUM(F8/2)-5.438</f>
        <v>33.562</v>
      </c>
      <c r="G14" s="8"/>
      <c r="H14" s="8"/>
      <c r="I14" s="5"/>
      <c r="J14" s="5"/>
      <c r="K14" s="5"/>
    </row>
    <row r="15" spans="1:11" ht="15">
      <c r="A15" s="7"/>
      <c r="B15" s="8"/>
      <c r="C15" s="8"/>
      <c r="D15" s="8"/>
      <c r="E15" s="9" t="s">
        <v>8</v>
      </c>
      <c r="F15" s="15">
        <f>SUM(F9-8.375)</f>
        <v>71.625</v>
      </c>
      <c r="G15" s="8"/>
      <c r="H15" s="8"/>
      <c r="I15" s="5"/>
      <c r="J15" s="5"/>
      <c r="K15" s="5"/>
    </row>
    <row r="16" spans="1:11" ht="6.75" customHeight="1">
      <c r="A16" s="7"/>
      <c r="B16" s="8"/>
      <c r="C16" s="8"/>
      <c r="D16" s="8"/>
      <c r="E16" s="8"/>
      <c r="F16" s="8"/>
      <c r="G16" s="8"/>
      <c r="H16" s="8"/>
      <c r="I16" s="5"/>
      <c r="J16" s="5"/>
      <c r="K16" s="5"/>
    </row>
    <row r="17" spans="1:11" ht="11.25" customHeight="1">
      <c r="A17" s="7"/>
      <c r="B17" s="201" t="s">
        <v>30</v>
      </c>
      <c r="C17" s="201"/>
      <c r="D17" s="8"/>
      <c r="E17" s="8"/>
      <c r="F17" s="8"/>
      <c r="G17" s="8"/>
      <c r="H17" s="8"/>
      <c r="I17" s="5"/>
      <c r="J17" s="5"/>
      <c r="K17" s="5"/>
    </row>
    <row r="18" spans="1:11" ht="15.75" thickBot="1">
      <c r="A18" s="7"/>
      <c r="B18" s="8"/>
      <c r="C18" s="8"/>
      <c r="D18" s="8"/>
      <c r="E18" s="8"/>
      <c r="F18" s="8"/>
      <c r="G18" s="8"/>
      <c r="H18" s="8"/>
      <c r="I18" s="5"/>
      <c r="J18" s="5"/>
      <c r="K18" s="5"/>
    </row>
    <row r="19" spans="1:13" ht="66">
      <c r="A19" s="16" t="s">
        <v>4</v>
      </c>
      <c r="B19" s="17" t="s">
        <v>2</v>
      </c>
      <c r="C19" s="18"/>
      <c r="D19" s="19" t="s">
        <v>5</v>
      </c>
      <c r="E19" s="17" t="s">
        <v>0</v>
      </c>
      <c r="F19" s="19" t="s">
        <v>39</v>
      </c>
      <c r="G19" s="20" t="s">
        <v>61</v>
      </c>
      <c r="H19" s="20" t="s">
        <v>41</v>
      </c>
      <c r="I19" s="19" t="s">
        <v>37</v>
      </c>
      <c r="J19" s="21" t="s">
        <v>1</v>
      </c>
      <c r="K19" s="81" t="s">
        <v>80</v>
      </c>
      <c r="L19" s="92" t="s">
        <v>89</v>
      </c>
      <c r="M19" s="82" t="s">
        <v>74</v>
      </c>
    </row>
    <row r="20" spans="1:13" ht="24.75" customHeight="1">
      <c r="A20" s="202">
        <v>1</v>
      </c>
      <c r="B20" s="22" t="s">
        <v>9</v>
      </c>
      <c r="C20" s="204"/>
      <c r="D20" s="23">
        <f>SUM(F8/2)-1.875</f>
        <v>37.125</v>
      </c>
      <c r="E20" s="22">
        <f>SUM(4*F$6)</f>
        <v>4</v>
      </c>
      <c r="F20" s="206">
        <f>SUM(D20*E20/12+D21*E21/12)*1.413</f>
        <v>36.325875</v>
      </c>
      <c r="G20" s="207">
        <f>SUM((D20*E20+D21*E21)/12)*2</f>
        <v>51.416666666666664</v>
      </c>
      <c r="H20" s="209">
        <v>279500</v>
      </c>
      <c r="I20" s="25" t="s">
        <v>38</v>
      </c>
      <c r="J20" s="211" t="s">
        <v>23</v>
      </c>
      <c r="K20" s="191" t="s">
        <v>90</v>
      </c>
      <c r="L20" s="212" t="s">
        <v>82</v>
      </c>
      <c r="M20" s="214">
        <v>1.413</v>
      </c>
    </row>
    <row r="21" spans="1:13" ht="23.25" customHeight="1">
      <c r="A21" s="203"/>
      <c r="B21" s="22" t="s">
        <v>10</v>
      </c>
      <c r="C21" s="205"/>
      <c r="D21" s="23">
        <f>F9</f>
        <v>80</v>
      </c>
      <c r="E21" s="22">
        <f>SUM(2*F$6)</f>
        <v>2</v>
      </c>
      <c r="F21" s="190"/>
      <c r="G21" s="208"/>
      <c r="H21" s="210"/>
      <c r="I21" s="108" t="s">
        <v>35</v>
      </c>
      <c r="J21" s="211"/>
      <c r="K21" s="192"/>
      <c r="L21" s="213"/>
      <c r="M21" s="214"/>
    </row>
    <row r="22" spans="1:13" ht="37.5" customHeight="1">
      <c r="A22" s="24">
        <v>2</v>
      </c>
      <c r="B22" s="25" t="s">
        <v>11</v>
      </c>
      <c r="C22" s="25"/>
      <c r="D22" s="23">
        <f>SUM(F8-4)</f>
        <v>74</v>
      </c>
      <c r="E22" s="22">
        <f>SUM(2*F$6)</f>
        <v>2</v>
      </c>
      <c r="F22" s="26">
        <f>SUM(D22*E22/12*0.236)</f>
        <v>2.9106666666666667</v>
      </c>
      <c r="G22" s="110"/>
      <c r="H22" s="110"/>
      <c r="I22" s="22" t="s">
        <v>36</v>
      </c>
      <c r="J22" s="113" t="s">
        <v>24</v>
      </c>
      <c r="K22" s="93">
        <v>44078</v>
      </c>
      <c r="L22" s="118" t="s">
        <v>76</v>
      </c>
      <c r="M22" s="120">
        <v>0.236</v>
      </c>
    </row>
    <row r="23" spans="1:13" ht="27" customHeight="1">
      <c r="A23" s="109">
        <v>3</v>
      </c>
      <c r="B23" s="25" t="s">
        <v>12</v>
      </c>
      <c r="C23" s="107"/>
      <c r="D23" s="23">
        <f>SUM(F8-2.25)</f>
        <v>75.75</v>
      </c>
      <c r="E23" s="22">
        <f>SUM(1*F$6)</f>
        <v>1</v>
      </c>
      <c r="F23" s="105">
        <f>SUM(D23*E23/12)*0.142</f>
        <v>0.8963749999999999</v>
      </c>
      <c r="G23" s="99"/>
      <c r="H23" s="101"/>
      <c r="I23" s="22" t="s">
        <v>36</v>
      </c>
      <c r="J23" s="114" t="s">
        <v>25</v>
      </c>
      <c r="K23" s="116">
        <v>44077</v>
      </c>
      <c r="L23" s="118" t="s">
        <v>77</v>
      </c>
      <c r="M23" s="120">
        <v>0.142</v>
      </c>
    </row>
    <row r="24" spans="1:13" ht="27.75" customHeight="1">
      <c r="A24" s="24">
        <v>4</v>
      </c>
      <c r="B24" s="22" t="s">
        <v>88</v>
      </c>
      <c r="C24" s="22"/>
      <c r="D24" s="23">
        <f>SUM(F8-2.5)</f>
        <v>75.5</v>
      </c>
      <c r="E24" s="22">
        <f>SUM(2*F$6)</f>
        <v>2</v>
      </c>
      <c r="F24" s="28"/>
      <c r="G24" s="29">
        <f>SUM((D24*E24)/12)</f>
        <v>12.583333333333334</v>
      </c>
      <c r="H24" s="30">
        <v>306300</v>
      </c>
      <c r="I24" s="22" t="s">
        <v>36</v>
      </c>
      <c r="J24" s="31" t="s">
        <v>28</v>
      </c>
      <c r="K24" s="94"/>
      <c r="L24" s="118"/>
      <c r="M24" s="120"/>
    </row>
    <row r="25" spans="1:13" ht="23.25" customHeight="1">
      <c r="A25" s="195">
        <v>5</v>
      </c>
      <c r="B25" s="22" t="s">
        <v>13</v>
      </c>
      <c r="C25" s="204"/>
      <c r="D25" s="23">
        <f>SUM(F8/2)-0.375</f>
        <v>38.625</v>
      </c>
      <c r="E25" s="22">
        <f>SUM(4*F$6)</f>
        <v>4</v>
      </c>
      <c r="F25" s="206">
        <f>SUM(D25*E25/12+D26*E26/12)*1.036</f>
        <v>33.200562500000004</v>
      </c>
      <c r="G25" s="29">
        <f>SUM((D25*E25+D26*E26)/12)</f>
        <v>32.046875</v>
      </c>
      <c r="H25" s="32">
        <v>259800</v>
      </c>
      <c r="I25" s="22" t="s">
        <v>35</v>
      </c>
      <c r="J25" s="211" t="s">
        <v>23</v>
      </c>
      <c r="K25" s="191" t="s">
        <v>91</v>
      </c>
      <c r="L25" s="212" t="s">
        <v>81</v>
      </c>
      <c r="M25" s="214">
        <v>1.036</v>
      </c>
    </row>
    <row r="26" spans="1:13" ht="21" customHeight="1">
      <c r="A26" s="196"/>
      <c r="B26" s="22" t="s">
        <v>14</v>
      </c>
      <c r="C26" s="205"/>
      <c r="D26" s="23">
        <f>SUM(F9-3.3125)</f>
        <v>76.6875</v>
      </c>
      <c r="E26" s="22">
        <f>SUM(3*F$6)</f>
        <v>3</v>
      </c>
      <c r="F26" s="190"/>
      <c r="G26" s="29">
        <f>SUM((D26*E26+D25*E25)/12)</f>
        <v>32.046875</v>
      </c>
      <c r="H26" s="115">
        <v>306200</v>
      </c>
      <c r="I26" s="22" t="s">
        <v>35</v>
      </c>
      <c r="J26" s="211"/>
      <c r="K26" s="192"/>
      <c r="L26" s="213"/>
      <c r="M26" s="214"/>
    </row>
    <row r="27" spans="1:17" s="117" customFormat="1" ht="21" customHeight="1">
      <c r="A27" s="196"/>
      <c r="B27" s="185" t="s">
        <v>93</v>
      </c>
      <c r="C27" s="204"/>
      <c r="D27" s="187">
        <f>SUM(F9-3.3125)</f>
        <v>76.6875</v>
      </c>
      <c r="E27" s="185">
        <f>SUM(1*F$6)</f>
        <v>1</v>
      </c>
      <c r="F27" s="189">
        <f>SUM((D27*E27/12)*M27)</f>
        <v>19.8365</v>
      </c>
      <c r="G27" s="102">
        <f>SUM(D27*E27/12)</f>
        <v>6.390625</v>
      </c>
      <c r="H27" s="32">
        <v>259800</v>
      </c>
      <c r="I27" s="185" t="s">
        <v>35</v>
      </c>
      <c r="J27" s="193" t="s">
        <v>24</v>
      </c>
      <c r="K27" s="191" t="s">
        <v>139</v>
      </c>
      <c r="L27" s="181" t="s">
        <v>138</v>
      </c>
      <c r="M27" s="183">
        <v>3.104</v>
      </c>
      <c r="Q27" s="1"/>
    </row>
    <row r="28" spans="1:17" s="100" customFormat="1" ht="21" customHeight="1">
      <c r="A28" s="197"/>
      <c r="B28" s="186"/>
      <c r="C28" s="205"/>
      <c r="D28" s="188"/>
      <c r="E28" s="186"/>
      <c r="F28" s="190"/>
      <c r="G28" s="102">
        <f>SUM(D27*E27/12)</f>
        <v>6.390625</v>
      </c>
      <c r="H28" s="115">
        <v>306200</v>
      </c>
      <c r="I28" s="186"/>
      <c r="J28" s="194"/>
      <c r="K28" s="192"/>
      <c r="L28" s="182"/>
      <c r="M28" s="184"/>
      <c r="Q28" s="1"/>
    </row>
    <row r="29" spans="1:13" ht="24.75" customHeight="1">
      <c r="A29" s="202">
        <v>6</v>
      </c>
      <c r="B29" s="22" t="s">
        <v>15</v>
      </c>
      <c r="C29" s="204"/>
      <c r="D29" s="33">
        <f>SUM(D25-4.688)</f>
        <v>33.937</v>
      </c>
      <c r="E29" s="22">
        <f>SUM(4*F$6)</f>
        <v>4</v>
      </c>
      <c r="F29" s="206">
        <f>SUM(D29*E29/12+D30*E30/12)*0.113</f>
        <v>3.936147833333333</v>
      </c>
      <c r="G29" s="207"/>
      <c r="H29" s="207"/>
      <c r="I29" s="22" t="s">
        <v>36</v>
      </c>
      <c r="J29" s="193" t="s">
        <v>24</v>
      </c>
      <c r="K29" s="215">
        <v>44081</v>
      </c>
      <c r="L29" s="217" t="s">
        <v>78</v>
      </c>
      <c r="M29" s="214">
        <v>0.113</v>
      </c>
    </row>
    <row r="30" spans="1:13" ht="23.25" customHeight="1">
      <c r="A30" s="203"/>
      <c r="B30" s="22" t="s">
        <v>16</v>
      </c>
      <c r="C30" s="205"/>
      <c r="D30" s="33">
        <f>SUM(D26-6.125)</f>
        <v>70.5625</v>
      </c>
      <c r="E30" s="22">
        <f>SUM(4*F$6)</f>
        <v>4</v>
      </c>
      <c r="F30" s="190"/>
      <c r="G30" s="208"/>
      <c r="H30" s="208"/>
      <c r="I30" s="22" t="s">
        <v>36</v>
      </c>
      <c r="J30" s="194"/>
      <c r="K30" s="216"/>
      <c r="L30" s="217"/>
      <c r="M30" s="214"/>
    </row>
    <row r="31" spans="1:13" ht="24.75" customHeight="1" thickBot="1">
      <c r="A31" s="24">
        <v>7</v>
      </c>
      <c r="B31" s="22" t="s">
        <v>17</v>
      </c>
      <c r="C31" s="22"/>
      <c r="D31" s="23">
        <f>SUM(F9-3.3125)</f>
        <v>76.6875</v>
      </c>
      <c r="E31" s="22">
        <f>SUM(2*F$6)</f>
        <v>2</v>
      </c>
      <c r="F31" s="26">
        <f>SUM(D31*E31/12*0.21)</f>
        <v>2.6840625</v>
      </c>
      <c r="G31" s="110"/>
      <c r="H31" s="110"/>
      <c r="I31" s="22" t="s">
        <v>36</v>
      </c>
      <c r="J31" s="31" t="s">
        <v>26</v>
      </c>
      <c r="K31" s="122">
        <v>44079</v>
      </c>
      <c r="L31" s="119" t="s">
        <v>79</v>
      </c>
      <c r="M31" s="121">
        <v>0.21</v>
      </c>
    </row>
    <row r="32" spans="1:13" ht="27.75" customHeight="1">
      <c r="A32" s="24">
        <v>8</v>
      </c>
      <c r="B32" s="22" t="s">
        <v>84</v>
      </c>
      <c r="C32" s="22"/>
      <c r="D32" s="23">
        <f>SUM(F9-3.9375)</f>
        <v>76.0625</v>
      </c>
      <c r="E32" s="22">
        <f>SUM(2*F$6)</f>
        <v>2</v>
      </c>
      <c r="F32" s="28"/>
      <c r="G32" s="29">
        <f>SUM((D32*E32)/12)</f>
        <v>12.677083333333334</v>
      </c>
      <c r="H32" s="30">
        <v>311300</v>
      </c>
      <c r="I32" s="22" t="s">
        <v>36</v>
      </c>
      <c r="J32" s="31" t="s">
        <v>27</v>
      </c>
      <c r="K32" s="123"/>
      <c r="L32" s="4"/>
      <c r="M32" s="4"/>
    </row>
    <row r="33" spans="1:13" ht="24.75" customHeight="1">
      <c r="A33" s="202">
        <v>9</v>
      </c>
      <c r="B33" s="22" t="s">
        <v>86</v>
      </c>
      <c r="C33" s="204"/>
      <c r="D33" s="23">
        <f>SUM(F8-4)</f>
        <v>74</v>
      </c>
      <c r="E33" s="22">
        <f>SUM(2*F$6)</f>
        <v>2</v>
      </c>
      <c r="F33" s="218"/>
      <c r="G33" s="207">
        <f>SUM((D33*E33+D34*E34)/12)</f>
        <v>37.666666666666664</v>
      </c>
      <c r="H33" s="209">
        <v>354300</v>
      </c>
      <c r="I33" s="22" t="s">
        <v>36</v>
      </c>
      <c r="J33" s="211" t="s">
        <v>27</v>
      </c>
      <c r="K33" s="123"/>
      <c r="L33" s="4"/>
      <c r="M33" s="4"/>
    </row>
    <row r="34" spans="1:13" ht="20.25" customHeight="1">
      <c r="A34" s="203"/>
      <c r="B34" s="22" t="s">
        <v>87</v>
      </c>
      <c r="C34" s="205"/>
      <c r="D34" s="23">
        <f>SUM(F9-4)</f>
        <v>76</v>
      </c>
      <c r="E34" s="22">
        <f>SUM(F6*4)</f>
        <v>4</v>
      </c>
      <c r="F34" s="219"/>
      <c r="G34" s="208"/>
      <c r="H34" s="210"/>
      <c r="I34" s="22" t="s">
        <v>36</v>
      </c>
      <c r="J34" s="211"/>
      <c r="K34" s="123"/>
      <c r="L34" s="4"/>
      <c r="M34" s="4"/>
    </row>
    <row r="35" spans="1:13" ht="20.25" customHeight="1">
      <c r="A35" s="195">
        <v>10</v>
      </c>
      <c r="B35" s="22" t="s">
        <v>31</v>
      </c>
      <c r="C35" s="204" t="s">
        <v>73</v>
      </c>
      <c r="D35" s="23">
        <f>SUM(D25-30.125)</f>
        <v>8.5</v>
      </c>
      <c r="E35" s="22">
        <f>SUM(F6*2)</f>
        <v>2</v>
      </c>
      <c r="F35" s="34"/>
      <c r="G35" s="206">
        <f>SUM(D35*E35+D36*E36+D37*E37+D38*E38+D39*E39+D40*E40)/12</f>
        <v>14.124916666666666</v>
      </c>
      <c r="H35" s="111"/>
      <c r="I35" s="22" t="s">
        <v>36</v>
      </c>
      <c r="J35" s="223" t="s">
        <v>40</v>
      </c>
      <c r="K35" s="123"/>
      <c r="L35" s="4"/>
      <c r="M35" s="4"/>
    </row>
    <row r="36" spans="1:13" ht="20.25" customHeight="1">
      <c r="A36" s="196"/>
      <c r="B36" s="22" t="s">
        <v>32</v>
      </c>
      <c r="C36" s="220"/>
      <c r="D36" s="23">
        <v>3.9375</v>
      </c>
      <c r="E36" s="22">
        <f>SUM(F6*2)</f>
        <v>2</v>
      </c>
      <c r="F36" s="34"/>
      <c r="G36" s="221"/>
      <c r="H36" s="112"/>
      <c r="I36" s="22" t="s">
        <v>36</v>
      </c>
      <c r="J36" s="224"/>
      <c r="K36" s="124"/>
      <c r="L36" s="4"/>
      <c r="M36" s="4"/>
    </row>
    <row r="37" spans="1:13" ht="20.25" customHeight="1">
      <c r="A37" s="196"/>
      <c r="B37" s="22" t="s">
        <v>33</v>
      </c>
      <c r="C37" s="220"/>
      <c r="D37" s="23">
        <f>SUM(F11-15.688)</f>
        <v>24.686999999999998</v>
      </c>
      <c r="E37" s="22">
        <f>SUM(F6*2)</f>
        <v>2</v>
      </c>
      <c r="F37" s="34"/>
      <c r="G37" s="221"/>
      <c r="H37" s="221"/>
      <c r="I37" s="22" t="s">
        <v>36</v>
      </c>
      <c r="J37" s="224"/>
      <c r="K37" s="124"/>
      <c r="L37" s="4"/>
      <c r="M37" s="4"/>
    </row>
    <row r="38" spans="1:13" ht="23.25" customHeight="1">
      <c r="A38" s="196"/>
      <c r="B38" s="22" t="s">
        <v>34</v>
      </c>
      <c r="C38" s="220"/>
      <c r="D38" s="23">
        <v>0</v>
      </c>
      <c r="E38" s="35">
        <f>SUM(F6*0)</f>
        <v>0</v>
      </c>
      <c r="F38" s="34"/>
      <c r="G38" s="221"/>
      <c r="H38" s="221"/>
      <c r="I38" s="22" t="s">
        <v>36</v>
      </c>
      <c r="J38" s="224"/>
      <c r="K38" s="124"/>
      <c r="L38" s="4"/>
      <c r="M38" s="4"/>
    </row>
    <row r="39" spans="1:13" ht="23.25" customHeight="1">
      <c r="A39" s="196"/>
      <c r="B39" s="22" t="s">
        <v>72</v>
      </c>
      <c r="C39" s="220"/>
      <c r="D39" s="23">
        <f>SUM(D31-F11-20.25)</f>
        <v>16.0625</v>
      </c>
      <c r="E39" s="35">
        <f>SUM(F6*2)</f>
        <v>2</v>
      </c>
      <c r="F39" s="34"/>
      <c r="G39" s="221"/>
      <c r="H39" s="221"/>
      <c r="I39" s="22" t="s">
        <v>36</v>
      </c>
      <c r="J39" s="224"/>
      <c r="K39" s="124"/>
      <c r="L39" s="4"/>
      <c r="M39" s="4"/>
    </row>
    <row r="40" spans="1:13" ht="23.25" customHeight="1">
      <c r="A40" s="197"/>
      <c r="B40" s="22" t="s">
        <v>71</v>
      </c>
      <c r="C40" s="205"/>
      <c r="D40" s="23">
        <f>SUM(D25-7.0625)</f>
        <v>31.5625</v>
      </c>
      <c r="E40" s="35">
        <f>SUM(F6*2)</f>
        <v>2</v>
      </c>
      <c r="F40" s="34"/>
      <c r="G40" s="222"/>
      <c r="H40" s="222"/>
      <c r="I40" s="22" t="s">
        <v>36</v>
      </c>
      <c r="J40" s="225"/>
      <c r="K40" s="124"/>
      <c r="L40" s="4"/>
      <c r="M40" s="4"/>
    </row>
    <row r="41" spans="1:13" ht="30" customHeight="1">
      <c r="A41" s="24">
        <v>11</v>
      </c>
      <c r="B41" s="22" t="s">
        <v>18</v>
      </c>
      <c r="C41" s="22"/>
      <c r="D41" s="23">
        <f>SUM((D26*6)+(D25*8))*F6</f>
        <v>769.125</v>
      </c>
      <c r="E41" s="23"/>
      <c r="F41" s="36"/>
      <c r="G41" s="37">
        <f>SUM(D41/12)</f>
        <v>64.09375</v>
      </c>
      <c r="H41" s="37"/>
      <c r="I41" s="22" t="s">
        <v>35</v>
      </c>
      <c r="J41" s="125" t="s">
        <v>40</v>
      </c>
      <c r="K41" s="124"/>
      <c r="L41" s="4"/>
      <c r="M41" s="4"/>
    </row>
    <row r="42" spans="1:13" ht="32.25" customHeight="1">
      <c r="A42" s="24">
        <v>12</v>
      </c>
      <c r="B42" s="22" t="s">
        <v>19</v>
      </c>
      <c r="C42" s="22"/>
      <c r="D42" s="23">
        <f>SUM(D25+D26)*8*F6</f>
        <v>922.5</v>
      </c>
      <c r="E42" s="23"/>
      <c r="F42" s="38"/>
      <c r="G42" s="37">
        <f>SUM(D42/12)</f>
        <v>76.875</v>
      </c>
      <c r="H42" s="37"/>
      <c r="I42" s="22" t="s">
        <v>35</v>
      </c>
      <c r="J42" s="125" t="s">
        <v>40</v>
      </c>
      <c r="K42" s="124"/>
      <c r="L42" s="4"/>
      <c r="M42" s="4"/>
    </row>
    <row r="43" spans="1:13" ht="31.5" customHeight="1" thickBot="1">
      <c r="A43" s="39">
        <v>13</v>
      </c>
      <c r="B43" s="40" t="s">
        <v>148</v>
      </c>
      <c r="C43" s="41"/>
      <c r="D43" s="42">
        <f>SUM(D26*2)*F6</f>
        <v>153.375</v>
      </c>
      <c r="E43" s="42"/>
      <c r="F43" s="43"/>
      <c r="G43" s="44">
        <f>SUM(D43/12)</f>
        <v>12.78125</v>
      </c>
      <c r="H43" s="45"/>
      <c r="I43" s="126" t="s">
        <v>36</v>
      </c>
      <c r="J43" s="127" t="s">
        <v>40</v>
      </c>
      <c r="K43" s="124"/>
      <c r="L43" s="4"/>
      <c r="M43" s="4"/>
    </row>
    <row r="44" spans="1:11" ht="14.25">
      <c r="A44" s="76" t="s">
        <v>20</v>
      </c>
      <c r="B44" s="46"/>
      <c r="C44" s="77"/>
      <c r="D44" s="78"/>
      <c r="E44" s="78"/>
      <c r="F44" s="78"/>
      <c r="G44" s="46"/>
      <c r="H44" s="46"/>
      <c r="I44" s="5"/>
      <c r="J44" s="5"/>
      <c r="K44" s="5"/>
    </row>
    <row r="45" spans="1:11" ht="15" customHeight="1">
      <c r="A45" s="47" t="s">
        <v>21</v>
      </c>
      <c r="B45" s="7"/>
      <c r="C45" s="7"/>
      <c r="D45" s="7"/>
      <c r="E45" s="7"/>
      <c r="F45" s="7"/>
      <c r="G45" s="7"/>
      <c r="H45" s="7"/>
      <c r="I45" s="5"/>
      <c r="J45" s="5"/>
      <c r="K45" s="5"/>
    </row>
    <row r="46" spans="1:11" ht="15" customHeight="1">
      <c r="A46" s="226" t="s">
        <v>22</v>
      </c>
      <c r="B46" s="226"/>
      <c r="C46" s="226"/>
      <c r="D46" s="226"/>
      <c r="E46" s="226"/>
      <c r="F46" s="226"/>
      <c r="G46" s="226"/>
      <c r="H46" s="84"/>
      <c r="I46" s="5"/>
      <c r="J46" s="5"/>
      <c r="K46" s="5"/>
    </row>
    <row r="47" spans="1:11" ht="15" customHeight="1" thickBot="1">
      <c r="A47" s="84"/>
      <c r="B47" s="84"/>
      <c r="C47" s="84"/>
      <c r="D47" s="84"/>
      <c r="E47" s="84"/>
      <c r="F47" s="84"/>
      <c r="G47" s="84"/>
      <c r="H47" s="84"/>
      <c r="I47" s="5"/>
      <c r="J47" s="5"/>
      <c r="K47" s="5"/>
    </row>
    <row r="48" spans="1:11" ht="15" customHeight="1">
      <c r="A48" s="7"/>
      <c r="B48" s="229" t="s">
        <v>47</v>
      </c>
      <c r="C48" s="248"/>
      <c r="D48" s="248"/>
      <c r="E48" s="249"/>
      <c r="F48" s="229" t="s">
        <v>52</v>
      </c>
      <c r="G48" s="230"/>
      <c r="H48" s="230"/>
      <c r="I48" s="230"/>
      <c r="J48" s="231"/>
      <c r="K48" s="88"/>
    </row>
    <row r="49" spans="1:11" ht="15" customHeight="1" thickBot="1">
      <c r="A49" s="7"/>
      <c r="B49" s="250"/>
      <c r="C49" s="251"/>
      <c r="D49" s="251"/>
      <c r="E49" s="252"/>
      <c r="F49" s="235"/>
      <c r="G49" s="236"/>
      <c r="H49" s="236"/>
      <c r="I49" s="236"/>
      <c r="J49" s="237"/>
      <c r="K49" s="88"/>
    </row>
    <row r="50" spans="1:11" ht="14.25">
      <c r="A50" s="238" t="s">
        <v>55</v>
      </c>
      <c r="B50" s="48" t="s">
        <v>43</v>
      </c>
      <c r="C50" s="49" t="s">
        <v>0</v>
      </c>
      <c r="D50" s="49" t="s">
        <v>44</v>
      </c>
      <c r="E50" s="50" t="s">
        <v>45</v>
      </c>
      <c r="F50" s="48" t="s">
        <v>43</v>
      </c>
      <c r="G50" s="49" t="s">
        <v>0</v>
      </c>
      <c r="H50" s="49" t="s">
        <v>62</v>
      </c>
      <c r="I50" s="51" t="s">
        <v>50</v>
      </c>
      <c r="J50" s="50" t="s">
        <v>45</v>
      </c>
      <c r="K50" s="89"/>
    </row>
    <row r="51" spans="1:11" ht="14.25">
      <c r="A51" s="239"/>
      <c r="B51" s="24" t="s">
        <v>42</v>
      </c>
      <c r="C51" s="52">
        <f>SUM(F20:F43)</f>
        <v>99.79018950000001</v>
      </c>
      <c r="D51" s="160"/>
      <c r="E51" s="164"/>
      <c r="F51" s="24" t="s">
        <v>48</v>
      </c>
      <c r="G51" s="22">
        <f>SUM(F6*1)</f>
        <v>1</v>
      </c>
      <c r="H51" s="27">
        <f>SUM(G51*0.33)</f>
        <v>0.33</v>
      </c>
      <c r="I51" s="74"/>
      <c r="J51" s="54">
        <f>SUM(H51*I51)</f>
        <v>0</v>
      </c>
      <c r="K51" s="90"/>
    </row>
    <row r="52" spans="1:13" ht="15" thickBot="1">
      <c r="A52" s="239"/>
      <c r="B52" s="24" t="s">
        <v>56</v>
      </c>
      <c r="C52" s="52">
        <f>SUM(G20)</f>
        <v>51.416666666666664</v>
      </c>
      <c r="D52" s="160"/>
      <c r="E52" s="164"/>
      <c r="F52" s="39" t="s">
        <v>49</v>
      </c>
      <c r="G52" s="41">
        <f>SUM(F6*2)</f>
        <v>2</v>
      </c>
      <c r="H52" s="55">
        <f>SUM(G52*0.67)</f>
        <v>1.34</v>
      </c>
      <c r="I52" s="75"/>
      <c r="J52" s="56">
        <f>SUM(H52*I52)</f>
        <v>0</v>
      </c>
      <c r="K52" s="90"/>
      <c r="L52" s="103"/>
      <c r="M52" s="104"/>
    </row>
    <row r="53" spans="1:13" ht="14.25">
      <c r="A53" s="239"/>
      <c r="B53" s="24" t="s">
        <v>57</v>
      </c>
      <c r="C53" s="52">
        <f>SUM(G24)</f>
        <v>12.583333333333334</v>
      </c>
      <c r="D53" s="160"/>
      <c r="E53" s="164"/>
      <c r="F53" s="7"/>
      <c r="G53" s="7"/>
      <c r="H53" s="5"/>
      <c r="I53" s="57" t="s">
        <v>51</v>
      </c>
      <c r="J53" s="58">
        <f>SUM(J51:J52)</f>
        <v>0</v>
      </c>
      <c r="K53" s="58"/>
      <c r="L53" s="103"/>
      <c r="M53" s="104"/>
    </row>
    <row r="54" spans="1:13" ht="15" customHeight="1">
      <c r="A54" s="239"/>
      <c r="B54" s="24" t="s">
        <v>69</v>
      </c>
      <c r="C54" s="52">
        <f>SUM(G25+G27)</f>
        <v>38.4375</v>
      </c>
      <c r="D54" s="160"/>
      <c r="E54" s="164"/>
      <c r="F54" s="253" t="s">
        <v>92</v>
      </c>
      <c r="G54" s="242"/>
      <c r="H54" s="242"/>
      <c r="I54" s="242"/>
      <c r="J54" s="242"/>
      <c r="K54" s="83"/>
      <c r="L54" s="103"/>
      <c r="M54" s="104"/>
    </row>
    <row r="55" spans="1:13" ht="14.25">
      <c r="A55" s="239"/>
      <c r="B55" s="24" t="s">
        <v>58</v>
      </c>
      <c r="C55" s="52">
        <f>SUM(G26+G28)</f>
        <v>38.4375</v>
      </c>
      <c r="D55" s="160"/>
      <c r="E55" s="164"/>
      <c r="F55" s="254"/>
      <c r="G55" s="242"/>
      <c r="H55" s="242"/>
      <c r="I55" s="242"/>
      <c r="J55" s="242"/>
      <c r="K55" s="83"/>
      <c r="L55" s="103"/>
      <c r="M55" s="104"/>
    </row>
    <row r="56" spans="1:13" ht="14.25">
      <c r="A56" s="239"/>
      <c r="B56" s="24" t="s">
        <v>59</v>
      </c>
      <c r="C56" s="52">
        <f>SUM(G32)</f>
        <v>12.677083333333334</v>
      </c>
      <c r="D56" s="160"/>
      <c r="E56" s="164"/>
      <c r="F56" s="8"/>
      <c r="G56" s="8"/>
      <c r="H56" s="5"/>
      <c r="I56" s="5"/>
      <c r="J56" s="5"/>
      <c r="K56" s="5"/>
      <c r="L56" s="103"/>
      <c r="M56" s="104"/>
    </row>
    <row r="57" spans="1:13" ht="14.25">
      <c r="A57" s="239"/>
      <c r="B57" s="24" t="s">
        <v>60</v>
      </c>
      <c r="C57" s="52">
        <f>SUM(G33)</f>
        <v>37.666666666666664</v>
      </c>
      <c r="D57" s="160"/>
      <c r="E57" s="164"/>
      <c r="F57" s="8"/>
      <c r="G57" s="8"/>
      <c r="H57" s="5"/>
      <c r="I57" s="5"/>
      <c r="J57" s="5"/>
      <c r="K57" s="5"/>
      <c r="L57" s="103"/>
      <c r="M57" s="104"/>
    </row>
    <row r="58" spans="1:13" ht="15" thickBot="1">
      <c r="A58" s="240"/>
      <c r="B58" s="24" t="s">
        <v>94</v>
      </c>
      <c r="C58" s="52">
        <f>SUM(G35)</f>
        <v>14.124916666666666</v>
      </c>
      <c r="D58" s="165"/>
      <c r="E58" s="164"/>
      <c r="F58" s="8"/>
      <c r="G58" s="8"/>
      <c r="H58" s="5"/>
      <c r="I58" s="5"/>
      <c r="J58" s="5"/>
      <c r="K58" s="5"/>
      <c r="L58" s="103"/>
      <c r="M58" s="104"/>
    </row>
    <row r="59" spans="1:13" ht="15">
      <c r="A59" s="244" t="s">
        <v>54</v>
      </c>
      <c r="B59" s="24" t="s">
        <v>95</v>
      </c>
      <c r="C59" s="52">
        <f>SUM(G41)</f>
        <v>64.09375</v>
      </c>
      <c r="D59" s="165"/>
      <c r="E59" s="164"/>
      <c r="F59" s="229" t="s">
        <v>65</v>
      </c>
      <c r="G59" s="230"/>
      <c r="H59" s="230"/>
      <c r="I59" s="230"/>
      <c r="J59" s="231"/>
      <c r="K59" s="88"/>
      <c r="L59" s="103"/>
      <c r="M59" s="104"/>
    </row>
    <row r="60" spans="1:13" ht="15" customHeight="1">
      <c r="A60" s="245"/>
      <c r="B60" s="24" t="s">
        <v>46</v>
      </c>
      <c r="C60" s="52">
        <f>SUM(G42)</f>
        <v>76.875</v>
      </c>
      <c r="D60" s="160"/>
      <c r="E60" s="164"/>
      <c r="F60" s="235"/>
      <c r="G60" s="236"/>
      <c r="H60" s="236"/>
      <c r="I60" s="236"/>
      <c r="J60" s="237"/>
      <c r="K60" s="88"/>
      <c r="L60" s="103"/>
      <c r="M60" s="104"/>
    </row>
    <row r="61" spans="1:13" ht="15" customHeight="1">
      <c r="A61" s="245"/>
      <c r="B61" s="24" t="s">
        <v>151</v>
      </c>
      <c r="C61" s="52">
        <f>SUM(G43)</f>
        <v>12.78125</v>
      </c>
      <c r="D61" s="160"/>
      <c r="E61" s="164"/>
      <c r="F61" s="48" t="s">
        <v>43</v>
      </c>
      <c r="G61" s="49" t="s">
        <v>0</v>
      </c>
      <c r="H61" s="49" t="s">
        <v>66</v>
      </c>
      <c r="I61" s="51" t="s">
        <v>67</v>
      </c>
      <c r="J61" s="50" t="s">
        <v>45</v>
      </c>
      <c r="K61" s="89"/>
      <c r="L61" s="103"/>
      <c r="M61" s="104"/>
    </row>
    <row r="62" spans="1:13" ht="15" thickBot="1">
      <c r="A62" s="245"/>
      <c r="B62" s="24" t="s">
        <v>135</v>
      </c>
      <c r="C62" s="22">
        <f>SUM(F6*2)</f>
        <v>2</v>
      </c>
      <c r="D62" s="165"/>
      <c r="E62" s="164"/>
      <c r="F62" s="86" t="s">
        <v>3</v>
      </c>
      <c r="G62" s="85">
        <f>SUM(F6*2)</f>
        <v>2</v>
      </c>
      <c r="H62" s="59">
        <f>SUM((F14*F15/144)*F6*2)</f>
        <v>33.387197916666665</v>
      </c>
      <c r="I62" s="75"/>
      <c r="J62" s="60">
        <f>SUM(H62*I62)</f>
        <v>0</v>
      </c>
      <c r="K62" s="90"/>
      <c r="L62" s="103"/>
      <c r="M62" s="104"/>
    </row>
    <row r="63" spans="1:13" ht="14.25">
      <c r="A63" s="245"/>
      <c r="B63" s="24" t="s">
        <v>96</v>
      </c>
      <c r="C63" s="22">
        <f>SUM(F6*5)</f>
        <v>5</v>
      </c>
      <c r="D63" s="165"/>
      <c r="E63" s="164"/>
      <c r="F63" s="61"/>
      <c r="G63" s="62"/>
      <c r="H63" s="63"/>
      <c r="I63" s="57" t="s">
        <v>51</v>
      </c>
      <c r="J63" s="64">
        <f>SUM(J62)</f>
        <v>0</v>
      </c>
      <c r="K63" s="91"/>
      <c r="L63" s="103"/>
      <c r="M63" s="104"/>
    </row>
    <row r="64" spans="1:13" ht="14.25">
      <c r="A64" s="245"/>
      <c r="B64" s="96" t="s">
        <v>97</v>
      </c>
      <c r="C64" s="22">
        <f>SUM(F6*2)</f>
        <v>2</v>
      </c>
      <c r="D64" s="165"/>
      <c r="E64" s="164"/>
      <c r="F64" s="8"/>
      <c r="G64" s="8"/>
      <c r="H64" s="8"/>
      <c r="I64" s="5"/>
      <c r="J64" s="5"/>
      <c r="K64" s="5"/>
      <c r="L64" s="103"/>
      <c r="M64" s="104"/>
    </row>
    <row r="65" spans="1:13" ht="15" customHeight="1">
      <c r="A65" s="245"/>
      <c r="B65" s="96" t="s">
        <v>98</v>
      </c>
      <c r="C65" s="22">
        <f>SUM(F6*2)</f>
        <v>2</v>
      </c>
      <c r="D65" s="165"/>
      <c r="E65" s="164"/>
      <c r="F65" s="8"/>
      <c r="G65" s="8"/>
      <c r="H65" s="65"/>
      <c r="I65" s="65"/>
      <c r="J65" s="5"/>
      <c r="K65" s="5"/>
      <c r="L65" s="103"/>
      <c r="M65" s="104"/>
    </row>
    <row r="66" spans="1:11" ht="14.25">
      <c r="A66" s="245"/>
      <c r="B66" s="24" t="s">
        <v>99</v>
      </c>
      <c r="C66" s="22">
        <f>SUM(F6*1)</f>
        <v>1</v>
      </c>
      <c r="D66" s="165"/>
      <c r="E66" s="164"/>
      <c r="F66" s="8"/>
      <c r="G66" s="8"/>
      <c r="H66" s="65"/>
      <c r="I66" s="65"/>
      <c r="J66" s="5"/>
      <c r="K66" s="5"/>
    </row>
    <row r="67" spans="1:11" ht="15" thickBot="1">
      <c r="A67" s="245"/>
      <c r="B67" s="24" t="s">
        <v>100</v>
      </c>
      <c r="C67" s="22">
        <f>SUM(F6*2)</f>
        <v>2</v>
      </c>
      <c r="D67" s="165"/>
      <c r="E67" s="164"/>
      <c r="F67" s="8"/>
      <c r="G67" s="8"/>
      <c r="H67" s="8"/>
      <c r="I67" s="5"/>
      <c r="J67" s="5"/>
      <c r="K67" s="5"/>
    </row>
    <row r="68" spans="1:11" ht="15">
      <c r="A68" s="245"/>
      <c r="B68" s="24" t="s">
        <v>101</v>
      </c>
      <c r="C68" s="22">
        <f>SUM(F6*16)</f>
        <v>16</v>
      </c>
      <c r="D68" s="165"/>
      <c r="E68" s="164"/>
      <c r="F68" s="229" t="s">
        <v>53</v>
      </c>
      <c r="G68" s="230"/>
      <c r="H68" s="230"/>
      <c r="I68" s="230"/>
      <c r="J68" s="231"/>
      <c r="K68" s="88"/>
    </row>
    <row r="69" spans="1:11" ht="15">
      <c r="A69" s="245"/>
      <c r="B69" s="24" t="s">
        <v>102</v>
      </c>
      <c r="C69" s="22">
        <f>SUM(F6*8)</f>
        <v>8</v>
      </c>
      <c r="D69" s="165"/>
      <c r="E69" s="164"/>
      <c r="F69" s="235"/>
      <c r="G69" s="236"/>
      <c r="H69" s="236"/>
      <c r="I69" s="236"/>
      <c r="J69" s="237"/>
      <c r="K69" s="88"/>
    </row>
    <row r="70" spans="1:11" ht="15" thickBot="1">
      <c r="A70" s="245"/>
      <c r="B70" s="24" t="s">
        <v>103</v>
      </c>
      <c r="C70" s="22">
        <f>SUM(F6*4)</f>
        <v>4</v>
      </c>
      <c r="D70" s="165"/>
      <c r="E70" s="164"/>
      <c r="F70" s="255" t="s">
        <v>68</v>
      </c>
      <c r="G70" s="247"/>
      <c r="H70" s="247"/>
      <c r="I70" s="66"/>
      <c r="J70" s="67">
        <f>SUM(E75+J53+J63)</f>
        <v>0</v>
      </c>
      <c r="K70" s="95"/>
    </row>
    <row r="71" spans="1:11" ht="14.25">
      <c r="A71" s="245"/>
      <c r="B71" s="24" t="s">
        <v>104</v>
      </c>
      <c r="C71" s="22">
        <f>SUM(F6*4)</f>
        <v>4</v>
      </c>
      <c r="D71" s="165"/>
      <c r="E71" s="164"/>
      <c r="F71" s="8"/>
      <c r="G71" s="8"/>
      <c r="H71" s="8"/>
      <c r="I71" s="5"/>
      <c r="J71" s="5"/>
      <c r="K71" s="5"/>
    </row>
    <row r="72" spans="1:17" s="106" customFormat="1" ht="14.25">
      <c r="A72" s="245"/>
      <c r="B72" s="129" t="s">
        <v>107</v>
      </c>
      <c r="C72" s="22">
        <f>SUM(F6*2)</f>
        <v>2</v>
      </c>
      <c r="D72" s="166"/>
      <c r="E72" s="167"/>
      <c r="F72" s="8"/>
      <c r="G72" s="8"/>
      <c r="H72" s="8"/>
      <c r="I72" s="5"/>
      <c r="J72" s="5"/>
      <c r="K72" s="5"/>
      <c r="Q72" s="1"/>
    </row>
    <row r="73" spans="1:17" s="128" customFormat="1" ht="14.25">
      <c r="A73" s="245"/>
      <c r="B73" s="129" t="s">
        <v>108</v>
      </c>
      <c r="C73" s="22">
        <f>SUM(F6*1)</f>
        <v>1</v>
      </c>
      <c r="D73" s="166"/>
      <c r="E73" s="167"/>
      <c r="F73" s="8"/>
      <c r="G73" s="8"/>
      <c r="H73" s="8"/>
      <c r="I73" s="5"/>
      <c r="J73" s="5"/>
      <c r="K73" s="5"/>
      <c r="Q73" s="1"/>
    </row>
    <row r="74" spans="1:11" ht="15" thickBot="1">
      <c r="A74" s="246"/>
      <c r="B74" s="39" t="s">
        <v>105</v>
      </c>
      <c r="C74" s="41">
        <f>SUM(F6*2)</f>
        <v>2</v>
      </c>
      <c r="D74" s="168"/>
      <c r="E74" s="169"/>
      <c r="F74" s="8"/>
      <c r="G74" s="8"/>
      <c r="H74" s="8"/>
      <c r="I74" s="5"/>
      <c r="J74" s="5"/>
      <c r="K74" s="5"/>
    </row>
    <row r="75" spans="1:11" ht="14.25">
      <c r="A75" s="7"/>
      <c r="B75" s="8"/>
      <c r="C75" s="8"/>
      <c r="D75" s="71" t="s">
        <v>51</v>
      </c>
      <c r="E75" s="72">
        <f>SUM(E51:E74)</f>
        <v>0</v>
      </c>
      <c r="F75" s="8"/>
      <c r="G75" s="8"/>
      <c r="H75" s="8"/>
      <c r="I75" s="5"/>
      <c r="J75" s="5"/>
      <c r="K75" s="5"/>
    </row>
    <row r="76" spans="1:6" ht="14.25">
      <c r="A76" s="3"/>
      <c r="B76" s="3"/>
      <c r="C76" s="3"/>
      <c r="D76" s="3"/>
      <c r="E76" s="3"/>
      <c r="F76" s="3"/>
    </row>
    <row r="77" spans="1:8" ht="15" customHeight="1">
      <c r="A77" s="228" t="s">
        <v>147</v>
      </c>
      <c r="B77" s="228"/>
      <c r="C77" s="228"/>
      <c r="D77" s="228"/>
      <c r="E77" s="228"/>
      <c r="F77" s="228"/>
      <c r="G77" s="228"/>
      <c r="H77" s="228"/>
    </row>
    <row r="78" spans="1:8" ht="24" customHeight="1">
      <c r="A78" s="228"/>
      <c r="B78" s="228"/>
      <c r="C78" s="228"/>
      <c r="D78" s="228"/>
      <c r="E78" s="228"/>
      <c r="F78" s="228"/>
      <c r="G78" s="228"/>
      <c r="H78" s="228"/>
    </row>
  </sheetData>
  <sheetProtection/>
  <mergeCells count="62">
    <mergeCell ref="G11:I11"/>
    <mergeCell ref="A77:H78"/>
    <mergeCell ref="B48:E49"/>
    <mergeCell ref="F48:J49"/>
    <mergeCell ref="A50:A58"/>
    <mergeCell ref="F54:J55"/>
    <mergeCell ref="A59:A74"/>
    <mergeCell ref="F59:J60"/>
    <mergeCell ref="F68:J69"/>
    <mergeCell ref="F70:H70"/>
    <mergeCell ref="A35:A40"/>
    <mergeCell ref="C35:C40"/>
    <mergeCell ref="G35:G40"/>
    <mergeCell ref="J35:J40"/>
    <mergeCell ref="H37:H40"/>
    <mergeCell ref="A46:G46"/>
    <mergeCell ref="A33:A34"/>
    <mergeCell ref="C33:C34"/>
    <mergeCell ref="F33:F34"/>
    <mergeCell ref="G33:G34"/>
    <mergeCell ref="H33:H34"/>
    <mergeCell ref="J33:J34"/>
    <mergeCell ref="M25:M26"/>
    <mergeCell ref="A29:A30"/>
    <mergeCell ref="C29:C30"/>
    <mergeCell ref="F29:F30"/>
    <mergeCell ref="G29:G30"/>
    <mergeCell ref="H29:H30"/>
    <mergeCell ref="J29:J30"/>
    <mergeCell ref="K29:K30"/>
    <mergeCell ref="L29:L30"/>
    <mergeCell ref="M29:M30"/>
    <mergeCell ref="H20:H21"/>
    <mergeCell ref="J20:J21"/>
    <mergeCell ref="K20:K21"/>
    <mergeCell ref="L20:L21"/>
    <mergeCell ref="M20:M21"/>
    <mergeCell ref="C25:C26"/>
    <mergeCell ref="F25:F26"/>
    <mergeCell ref="J25:J26"/>
    <mergeCell ref="K25:K26"/>
    <mergeCell ref="L25:L26"/>
    <mergeCell ref="A25:A28"/>
    <mergeCell ref="A1:G1"/>
    <mergeCell ref="A2:G2"/>
    <mergeCell ref="E13:F13"/>
    <mergeCell ref="B17:C17"/>
    <mergeCell ref="A20:A21"/>
    <mergeCell ref="C20:C21"/>
    <mergeCell ref="F20:F21"/>
    <mergeCell ref="G20:G21"/>
    <mergeCell ref="B27:B28"/>
    <mergeCell ref="H1:I1"/>
    <mergeCell ref="K27:K28"/>
    <mergeCell ref="L27:L28"/>
    <mergeCell ref="M27:M28"/>
    <mergeCell ref="C27:C28"/>
    <mergeCell ref="D27:D28"/>
    <mergeCell ref="E27:E28"/>
    <mergeCell ref="F27:F28"/>
    <mergeCell ref="I27:I28"/>
    <mergeCell ref="J27:J28"/>
  </mergeCells>
  <printOptions horizontalCentered="1"/>
  <pageMargins left="0.5" right="0.5" top="0.25" bottom="0.25" header="0.3" footer="0.3"/>
  <pageSetup fitToHeight="1" fitToWidth="1" horizontalDpi="600" verticalDpi="600" orientation="portrait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1"/>
  <sheetViews>
    <sheetView zoomScale="90" zoomScaleNormal="90" workbookViewId="0" topLeftCell="A38">
      <selection activeCell="G24" sqref="G24"/>
    </sheetView>
  </sheetViews>
  <sheetFormatPr defaultColWidth="8.88671875" defaultRowHeight="15"/>
  <cols>
    <col min="1" max="1" width="6.21484375" style="2" customWidth="1"/>
    <col min="2" max="2" width="26.88671875" style="4" bestFit="1" customWidth="1"/>
    <col min="3" max="3" width="10.4453125" style="4" customWidth="1"/>
    <col min="4" max="4" width="11.4453125" style="4" customWidth="1"/>
    <col min="5" max="5" width="9.21484375" style="4" customWidth="1"/>
    <col min="6" max="6" width="11.10546875" style="4" customWidth="1"/>
    <col min="7" max="7" width="12.3359375" style="4" bestFit="1" customWidth="1"/>
    <col min="8" max="8" width="12.3359375" style="4" customWidth="1"/>
    <col min="9" max="9" width="11.6640625" style="158" bestFit="1" customWidth="1"/>
    <col min="10" max="10" width="10.4453125" style="158" bestFit="1" customWidth="1"/>
    <col min="11" max="11" width="10.4453125" style="158" customWidth="1"/>
    <col min="12" max="12" width="25.3359375" style="158" bestFit="1" customWidth="1"/>
    <col min="13" max="13" width="9.3359375" style="158" customWidth="1"/>
    <col min="14" max="16" width="8.88671875" style="158" customWidth="1"/>
    <col min="17" max="17" width="8.88671875" style="1" customWidth="1"/>
    <col min="18" max="16384" width="8.88671875" style="158" customWidth="1"/>
  </cols>
  <sheetData>
    <row r="1" spans="1:11" ht="15" customHeight="1">
      <c r="A1" s="198" t="s">
        <v>143</v>
      </c>
      <c r="B1" s="198"/>
      <c r="C1" s="198"/>
      <c r="D1" s="198"/>
      <c r="E1" s="198"/>
      <c r="F1" s="198"/>
      <c r="G1" s="198"/>
      <c r="H1" s="180" t="s">
        <v>153</v>
      </c>
      <c r="I1" s="180"/>
      <c r="J1" s="5"/>
      <c r="K1" s="5"/>
    </row>
    <row r="2" spans="1:11" ht="15" customHeight="1">
      <c r="A2" s="198" t="s">
        <v>142</v>
      </c>
      <c r="B2" s="198"/>
      <c r="C2" s="198"/>
      <c r="D2" s="198"/>
      <c r="E2" s="198"/>
      <c r="F2" s="198"/>
      <c r="G2" s="198"/>
      <c r="H2" s="144"/>
      <c r="I2" s="6"/>
      <c r="J2" s="6"/>
      <c r="K2" s="6"/>
    </row>
    <row r="3" spans="1:11" ht="15">
      <c r="A3" s="157"/>
      <c r="B3" s="8"/>
      <c r="C3" s="8"/>
      <c r="D3" s="8"/>
      <c r="E3" s="8"/>
      <c r="F3" s="8"/>
      <c r="G3" s="8"/>
      <c r="H3" s="8"/>
      <c r="I3" s="5"/>
      <c r="J3" s="5"/>
      <c r="K3" s="5"/>
    </row>
    <row r="4" spans="1:11" ht="15">
      <c r="A4" s="157"/>
      <c r="B4" s="8"/>
      <c r="C4" s="8"/>
      <c r="D4" s="8"/>
      <c r="E4" s="8"/>
      <c r="F4" s="8"/>
      <c r="G4" s="8"/>
      <c r="H4" s="8"/>
      <c r="I4" s="5"/>
      <c r="J4" s="5"/>
      <c r="K4" s="5"/>
    </row>
    <row r="5" spans="1:11" ht="15">
      <c r="A5" s="157"/>
      <c r="B5" s="8"/>
      <c r="C5" s="8"/>
      <c r="D5" s="8"/>
      <c r="E5" s="8"/>
      <c r="F5" s="8"/>
      <c r="G5" s="8"/>
      <c r="H5" s="8"/>
      <c r="I5" s="5"/>
      <c r="J5" s="5"/>
      <c r="K5" s="5"/>
    </row>
    <row r="6" spans="1:11" ht="15">
      <c r="A6" s="157"/>
      <c r="B6" s="8"/>
      <c r="C6" s="8"/>
      <c r="D6" s="8"/>
      <c r="E6" s="9" t="s">
        <v>6</v>
      </c>
      <c r="F6" s="73">
        <v>1</v>
      </c>
      <c r="G6" s="8"/>
      <c r="H6" s="8"/>
      <c r="I6" s="5"/>
      <c r="J6" s="5"/>
      <c r="K6" s="5"/>
    </row>
    <row r="7" spans="1:11" ht="15">
      <c r="A7" s="157"/>
      <c r="B7" s="8"/>
      <c r="C7" s="8"/>
      <c r="D7" s="8"/>
      <c r="E7" s="10"/>
      <c r="F7" s="11"/>
      <c r="G7" s="8"/>
      <c r="H7" s="8"/>
      <c r="I7" s="5"/>
      <c r="J7" s="5"/>
      <c r="K7" s="5"/>
    </row>
    <row r="8" spans="1:11" ht="15">
      <c r="A8" s="157"/>
      <c r="B8" s="8"/>
      <c r="C8" s="8"/>
      <c r="D8" s="8"/>
      <c r="E8" s="9" t="s">
        <v>7</v>
      </c>
      <c r="F8" s="79">
        <v>78</v>
      </c>
      <c r="G8" s="8"/>
      <c r="H8" s="8"/>
      <c r="I8" s="5"/>
      <c r="J8" s="5"/>
      <c r="K8" s="5"/>
    </row>
    <row r="9" spans="1:11" ht="15">
      <c r="A9" s="157"/>
      <c r="B9" s="8"/>
      <c r="C9" s="8"/>
      <c r="D9" s="8"/>
      <c r="E9" s="12" t="s">
        <v>8</v>
      </c>
      <c r="F9" s="80">
        <v>80</v>
      </c>
      <c r="G9" s="8"/>
      <c r="H9" s="8"/>
      <c r="I9" s="5"/>
      <c r="J9" s="5"/>
      <c r="K9" s="5"/>
    </row>
    <row r="10" spans="1:11" ht="15">
      <c r="A10" s="157"/>
      <c r="B10" s="8"/>
      <c r="C10" s="8"/>
      <c r="D10" s="8"/>
      <c r="E10" s="13"/>
      <c r="F10" s="13"/>
      <c r="G10" s="8"/>
      <c r="H10" s="8"/>
      <c r="I10" s="5"/>
      <c r="J10" s="5"/>
      <c r="K10" s="5"/>
    </row>
    <row r="11" spans="1:11" ht="15">
      <c r="A11" s="157"/>
      <c r="B11" s="8"/>
      <c r="C11" s="8"/>
      <c r="D11" s="8"/>
      <c r="E11" s="130" t="s">
        <v>112</v>
      </c>
      <c r="F11" s="79">
        <v>40.375</v>
      </c>
      <c r="G11" s="227" t="s">
        <v>111</v>
      </c>
      <c r="H11" s="227"/>
      <c r="I11" s="227"/>
      <c r="J11" s="5"/>
      <c r="K11" s="5"/>
    </row>
    <row r="12" spans="1:11" ht="15">
      <c r="A12" s="157"/>
      <c r="B12" s="8"/>
      <c r="C12" s="8"/>
      <c r="D12" s="8"/>
      <c r="E12" s="8"/>
      <c r="F12" s="8"/>
      <c r="G12" s="8"/>
      <c r="H12" s="8"/>
      <c r="I12" s="5"/>
      <c r="J12" s="5"/>
      <c r="K12" s="5"/>
    </row>
    <row r="13" spans="1:11" ht="15">
      <c r="A13" s="157"/>
      <c r="B13" s="8"/>
      <c r="C13" s="8"/>
      <c r="D13" s="8"/>
      <c r="E13" s="199" t="s">
        <v>3</v>
      </c>
      <c r="F13" s="200"/>
      <c r="G13" s="14"/>
      <c r="H13" s="14"/>
      <c r="I13" s="5"/>
      <c r="J13" s="5"/>
      <c r="K13" s="5"/>
    </row>
    <row r="14" spans="1:11" ht="15">
      <c r="A14" s="157"/>
      <c r="B14" s="8"/>
      <c r="C14" s="8"/>
      <c r="D14" s="8"/>
      <c r="E14" s="9" t="s">
        <v>7</v>
      </c>
      <c r="F14" s="15">
        <f>SUM(F8/2)-5.438</f>
        <v>33.562</v>
      </c>
      <c r="G14" s="8"/>
      <c r="H14" s="8"/>
      <c r="I14" s="5"/>
      <c r="J14" s="5"/>
      <c r="K14" s="5"/>
    </row>
    <row r="15" spans="1:11" ht="15">
      <c r="A15" s="157"/>
      <c r="B15" s="8"/>
      <c r="C15" s="8"/>
      <c r="D15" s="8"/>
      <c r="E15" s="9" t="s">
        <v>8</v>
      </c>
      <c r="F15" s="15">
        <f>SUM(F9-8.375)</f>
        <v>71.625</v>
      </c>
      <c r="G15" s="8"/>
      <c r="H15" s="8"/>
      <c r="I15" s="5"/>
      <c r="J15" s="5"/>
      <c r="K15" s="5"/>
    </row>
    <row r="16" spans="1:11" ht="27" customHeight="1">
      <c r="A16" s="157"/>
      <c r="B16" s="8"/>
      <c r="C16" s="8"/>
      <c r="D16" s="8"/>
      <c r="E16" s="8"/>
      <c r="F16" s="8"/>
      <c r="G16" s="8"/>
      <c r="H16" s="8"/>
      <c r="I16" s="5"/>
      <c r="J16" s="5"/>
      <c r="K16" s="5"/>
    </row>
    <row r="17" spans="1:11" ht="11.25" customHeight="1">
      <c r="A17" s="157"/>
      <c r="B17" s="201" t="s">
        <v>30</v>
      </c>
      <c r="C17" s="201"/>
      <c r="D17" s="8"/>
      <c r="E17" s="8"/>
      <c r="F17" s="8"/>
      <c r="G17" s="8"/>
      <c r="H17" s="8"/>
      <c r="I17" s="5"/>
      <c r="J17" s="5"/>
      <c r="K17" s="5"/>
    </row>
    <row r="18" spans="1:11" ht="15" thickBot="1">
      <c r="A18" s="157"/>
      <c r="B18" s="8"/>
      <c r="C18" s="8"/>
      <c r="D18" s="8"/>
      <c r="E18" s="8"/>
      <c r="F18" s="8"/>
      <c r="G18" s="8"/>
      <c r="H18" s="8"/>
      <c r="I18" s="5"/>
      <c r="J18" s="5"/>
      <c r="K18" s="5"/>
    </row>
    <row r="19" spans="1:13" ht="53.25">
      <c r="A19" s="16" t="s">
        <v>75</v>
      </c>
      <c r="B19" s="17" t="s">
        <v>2</v>
      </c>
      <c r="C19" s="18"/>
      <c r="D19" s="19" t="s">
        <v>5</v>
      </c>
      <c r="E19" s="17" t="s">
        <v>0</v>
      </c>
      <c r="F19" s="19" t="s">
        <v>39</v>
      </c>
      <c r="G19" s="20" t="s">
        <v>61</v>
      </c>
      <c r="H19" s="20" t="s">
        <v>41</v>
      </c>
      <c r="I19" s="19" t="s">
        <v>37</v>
      </c>
      <c r="J19" s="21" t="s">
        <v>1</v>
      </c>
      <c r="K19" s="81" t="s">
        <v>80</v>
      </c>
      <c r="L19" s="92" t="s">
        <v>89</v>
      </c>
      <c r="M19" s="82" t="s">
        <v>74</v>
      </c>
    </row>
    <row r="20" spans="1:13" ht="24.75" customHeight="1">
      <c r="A20" s="202">
        <v>1</v>
      </c>
      <c r="B20" s="22" t="s">
        <v>9</v>
      </c>
      <c r="C20" s="204"/>
      <c r="D20" s="23">
        <f>SUM(F8/2)-1.875</f>
        <v>37.125</v>
      </c>
      <c r="E20" s="22">
        <f>SUM(4*F$6)</f>
        <v>4</v>
      </c>
      <c r="F20" s="206">
        <f>SUM(D20*E20/12+D21*E21/12)*1.413</f>
        <v>36.325875</v>
      </c>
      <c r="G20" s="207">
        <f>SUM((D20*E20+D21*E21)/12*2)</f>
        <v>51.416666666666664</v>
      </c>
      <c r="H20" s="209">
        <v>279500</v>
      </c>
      <c r="I20" s="25" t="s">
        <v>38</v>
      </c>
      <c r="J20" s="211" t="s">
        <v>23</v>
      </c>
      <c r="K20" s="191" t="s">
        <v>90</v>
      </c>
      <c r="L20" s="212" t="s">
        <v>82</v>
      </c>
      <c r="M20" s="214">
        <v>1.413</v>
      </c>
    </row>
    <row r="21" spans="1:13" ht="23.25" customHeight="1">
      <c r="A21" s="203"/>
      <c r="B21" s="22" t="s">
        <v>10</v>
      </c>
      <c r="C21" s="205"/>
      <c r="D21" s="23">
        <f>F9</f>
        <v>80</v>
      </c>
      <c r="E21" s="22">
        <f>SUM(2*F$6)</f>
        <v>2</v>
      </c>
      <c r="F21" s="190"/>
      <c r="G21" s="208"/>
      <c r="H21" s="210"/>
      <c r="I21" s="148" t="s">
        <v>35</v>
      </c>
      <c r="J21" s="211"/>
      <c r="K21" s="192"/>
      <c r="L21" s="213"/>
      <c r="M21" s="214"/>
    </row>
    <row r="22" spans="1:13" ht="37.5" customHeight="1">
      <c r="A22" s="24">
        <v>2</v>
      </c>
      <c r="B22" s="25" t="s">
        <v>11</v>
      </c>
      <c r="C22" s="25"/>
      <c r="D22" s="23">
        <f>SUM(F8-2.25)</f>
        <v>75.75</v>
      </c>
      <c r="E22" s="22">
        <f>SUM(2*F$6)</f>
        <v>2</v>
      </c>
      <c r="F22" s="26">
        <f>SUM(D22*E22/12*0.236)</f>
        <v>2.9795</v>
      </c>
      <c r="G22" s="145"/>
      <c r="H22" s="145"/>
      <c r="I22" s="22" t="s">
        <v>36</v>
      </c>
      <c r="J22" s="151" t="s">
        <v>24</v>
      </c>
      <c r="K22" s="93">
        <v>44078</v>
      </c>
      <c r="L22" s="154" t="s">
        <v>76</v>
      </c>
      <c r="M22" s="152">
        <v>0.236</v>
      </c>
    </row>
    <row r="23" spans="1:13" ht="27" customHeight="1">
      <c r="A23" s="146">
        <v>3</v>
      </c>
      <c r="B23" s="25" t="s">
        <v>12</v>
      </c>
      <c r="C23" s="147"/>
      <c r="D23" s="23">
        <f>SUM(F8-2.25)</f>
        <v>75.75</v>
      </c>
      <c r="E23" s="22">
        <f>SUM(1*F$6)</f>
        <v>1</v>
      </c>
      <c r="F23" s="105">
        <f>SUM(D23*E23/12)*0.142</f>
        <v>0.8963749999999999</v>
      </c>
      <c r="G23" s="99"/>
      <c r="H23" s="101"/>
      <c r="I23" s="22" t="s">
        <v>36</v>
      </c>
      <c r="J23" s="143" t="s">
        <v>25</v>
      </c>
      <c r="K23" s="153">
        <v>44077</v>
      </c>
      <c r="L23" s="154" t="s">
        <v>77</v>
      </c>
      <c r="M23" s="152">
        <v>0.142</v>
      </c>
    </row>
    <row r="24" spans="1:13" ht="27.75" customHeight="1">
      <c r="A24" s="24">
        <v>4</v>
      </c>
      <c r="B24" s="22" t="s">
        <v>85</v>
      </c>
      <c r="C24" s="22"/>
      <c r="D24" s="23">
        <f>SUM(F8-2.5)</f>
        <v>75.5</v>
      </c>
      <c r="E24" s="22">
        <f>SUM(2*F$6)</f>
        <v>2</v>
      </c>
      <c r="F24" s="28"/>
      <c r="G24" s="29">
        <f>SUM((D24*E24)/12)</f>
        <v>12.583333333333334</v>
      </c>
      <c r="H24" s="30">
        <v>306300</v>
      </c>
      <c r="I24" s="22" t="s">
        <v>36</v>
      </c>
      <c r="J24" s="31" t="s">
        <v>28</v>
      </c>
      <c r="K24" s="94"/>
      <c r="L24" s="154"/>
      <c r="M24" s="152"/>
    </row>
    <row r="25" spans="1:13" ht="23.25" customHeight="1">
      <c r="A25" s="195">
        <v>5</v>
      </c>
      <c r="B25" s="22" t="s">
        <v>13</v>
      </c>
      <c r="C25" s="204"/>
      <c r="D25" s="23">
        <f>SUM(F8/2)-0.375</f>
        <v>38.625</v>
      </c>
      <c r="E25" s="22">
        <f>SUM(4*F$6)</f>
        <v>4</v>
      </c>
      <c r="F25" s="206">
        <f>SUM(D25*E25/12+D26*E26/12)*1.036</f>
        <v>33.200562500000004</v>
      </c>
      <c r="G25" s="29">
        <f>SUM((D25*E25+D26*E26)/12)</f>
        <v>32.046875</v>
      </c>
      <c r="H25" s="32">
        <v>259800</v>
      </c>
      <c r="I25" s="22" t="s">
        <v>35</v>
      </c>
      <c r="J25" s="211" t="s">
        <v>23</v>
      </c>
      <c r="K25" s="191" t="s">
        <v>91</v>
      </c>
      <c r="L25" s="212" t="s">
        <v>81</v>
      </c>
      <c r="M25" s="214">
        <v>1.036</v>
      </c>
    </row>
    <row r="26" spans="1:13" ht="21" customHeight="1">
      <c r="A26" s="196"/>
      <c r="B26" s="22" t="s">
        <v>14</v>
      </c>
      <c r="C26" s="205"/>
      <c r="D26" s="23">
        <f>SUM(F9-3.3125)</f>
        <v>76.6875</v>
      </c>
      <c r="E26" s="22">
        <f>SUM(3*F$6)</f>
        <v>3</v>
      </c>
      <c r="F26" s="190"/>
      <c r="G26" s="29">
        <f>SUM((D26*E26+D25*E25)/12)</f>
        <v>32.046875</v>
      </c>
      <c r="H26" s="150">
        <v>306200</v>
      </c>
      <c r="I26" s="22" t="s">
        <v>35</v>
      </c>
      <c r="J26" s="211"/>
      <c r="K26" s="192"/>
      <c r="L26" s="213"/>
      <c r="M26" s="214"/>
    </row>
    <row r="27" spans="1:13" ht="21" customHeight="1">
      <c r="A27" s="196"/>
      <c r="B27" s="185" t="s">
        <v>93</v>
      </c>
      <c r="C27" s="204"/>
      <c r="D27" s="187">
        <f>SUM(F9-3.3125)</f>
        <v>76.6875</v>
      </c>
      <c r="E27" s="185">
        <f>SUM(1*F$6)</f>
        <v>1</v>
      </c>
      <c r="F27" s="189">
        <f>SUM((D27*E27/12)*M27)</f>
        <v>19.8365</v>
      </c>
      <c r="G27" s="102">
        <f>SUM(D27*E27/12)</f>
        <v>6.390625</v>
      </c>
      <c r="H27" s="32">
        <v>259800</v>
      </c>
      <c r="I27" s="185" t="s">
        <v>35</v>
      </c>
      <c r="J27" s="193" t="s">
        <v>24</v>
      </c>
      <c r="K27" s="191" t="s">
        <v>139</v>
      </c>
      <c r="L27" s="181" t="s">
        <v>138</v>
      </c>
      <c r="M27" s="183">
        <v>3.104</v>
      </c>
    </row>
    <row r="28" spans="1:13" ht="22.5" customHeight="1">
      <c r="A28" s="197"/>
      <c r="B28" s="186"/>
      <c r="C28" s="205"/>
      <c r="D28" s="188"/>
      <c r="E28" s="186"/>
      <c r="F28" s="190"/>
      <c r="G28" s="102">
        <f>SUM(D27*E27/12)</f>
        <v>6.390625</v>
      </c>
      <c r="H28" s="150">
        <v>306200</v>
      </c>
      <c r="I28" s="186"/>
      <c r="J28" s="194"/>
      <c r="K28" s="192"/>
      <c r="L28" s="182"/>
      <c r="M28" s="184"/>
    </row>
    <row r="29" spans="1:13" ht="24.75" customHeight="1">
      <c r="A29" s="202">
        <v>6</v>
      </c>
      <c r="B29" s="22" t="s">
        <v>15</v>
      </c>
      <c r="C29" s="204"/>
      <c r="D29" s="33">
        <f>SUM(D25-4.688)</f>
        <v>33.937</v>
      </c>
      <c r="E29" s="22">
        <f>SUM(4*F$6)</f>
        <v>4</v>
      </c>
      <c r="F29" s="206">
        <f>SUM(D29*E29/12+D30*E30/12)*0.113</f>
        <v>3.936147833333333</v>
      </c>
      <c r="G29" s="207"/>
      <c r="H29" s="207"/>
      <c r="I29" s="22" t="s">
        <v>36</v>
      </c>
      <c r="J29" s="193" t="s">
        <v>24</v>
      </c>
      <c r="K29" s="215">
        <v>44081</v>
      </c>
      <c r="L29" s="217" t="s">
        <v>78</v>
      </c>
      <c r="M29" s="214">
        <v>0.113</v>
      </c>
    </row>
    <row r="30" spans="1:13" ht="23.25" customHeight="1">
      <c r="A30" s="203"/>
      <c r="B30" s="22" t="s">
        <v>16</v>
      </c>
      <c r="C30" s="205"/>
      <c r="D30" s="33">
        <f>SUM(D26-6.125)</f>
        <v>70.5625</v>
      </c>
      <c r="E30" s="22">
        <f>SUM(4*F$6)</f>
        <v>4</v>
      </c>
      <c r="F30" s="190"/>
      <c r="G30" s="208"/>
      <c r="H30" s="208"/>
      <c r="I30" s="22" t="s">
        <v>36</v>
      </c>
      <c r="J30" s="194"/>
      <c r="K30" s="216"/>
      <c r="L30" s="217"/>
      <c r="M30" s="214"/>
    </row>
    <row r="31" spans="1:13" ht="24.75" customHeight="1" thickBot="1">
      <c r="A31" s="24">
        <v>7</v>
      </c>
      <c r="B31" s="22" t="s">
        <v>17</v>
      </c>
      <c r="C31" s="22"/>
      <c r="D31" s="23">
        <f>SUM(F9-3.3125)</f>
        <v>76.6875</v>
      </c>
      <c r="E31" s="22">
        <f>SUM(2*F$6)</f>
        <v>2</v>
      </c>
      <c r="F31" s="26">
        <f>SUM(D31*E31/12*0.21)</f>
        <v>2.6840625</v>
      </c>
      <c r="G31" s="145"/>
      <c r="H31" s="145"/>
      <c r="I31" s="22" t="s">
        <v>36</v>
      </c>
      <c r="J31" s="31" t="s">
        <v>26</v>
      </c>
      <c r="K31" s="122">
        <v>44079</v>
      </c>
      <c r="L31" s="119" t="s">
        <v>79</v>
      </c>
      <c r="M31" s="121">
        <v>0.21</v>
      </c>
    </row>
    <row r="32" spans="1:13" ht="27.75" customHeight="1">
      <c r="A32" s="24">
        <v>8</v>
      </c>
      <c r="B32" s="22" t="s">
        <v>83</v>
      </c>
      <c r="C32" s="22"/>
      <c r="D32" s="23">
        <f>SUM(F9-3.9375)</f>
        <v>76.0625</v>
      </c>
      <c r="E32" s="22">
        <f>SUM(2*F$6)</f>
        <v>2</v>
      </c>
      <c r="F32" s="28"/>
      <c r="G32" s="29">
        <f>SUM((D32*E32)/12)</f>
        <v>12.677083333333334</v>
      </c>
      <c r="H32" s="30">
        <v>311300</v>
      </c>
      <c r="I32" s="22" t="s">
        <v>36</v>
      </c>
      <c r="J32" s="31" t="s">
        <v>27</v>
      </c>
      <c r="K32" s="123"/>
      <c r="L32" s="123"/>
      <c r="M32" s="123"/>
    </row>
    <row r="33" spans="1:13" ht="24.75" customHeight="1">
      <c r="A33" s="202">
        <v>9</v>
      </c>
      <c r="B33" s="22" t="s">
        <v>86</v>
      </c>
      <c r="C33" s="204"/>
      <c r="D33" s="23">
        <f>SUM(F8-4)</f>
        <v>74</v>
      </c>
      <c r="E33" s="22">
        <f>SUM(2*F$6)</f>
        <v>2</v>
      </c>
      <c r="F33" s="218"/>
      <c r="G33" s="207">
        <f>SUM((D33*E33+D34*E34)/12)</f>
        <v>37.666666666666664</v>
      </c>
      <c r="H33" s="209">
        <v>354300</v>
      </c>
      <c r="I33" s="22" t="s">
        <v>36</v>
      </c>
      <c r="J33" s="211" t="s">
        <v>27</v>
      </c>
      <c r="K33" s="123"/>
      <c r="L33" s="123"/>
      <c r="M33" s="123"/>
    </row>
    <row r="34" spans="1:13" ht="20.25" customHeight="1">
      <c r="A34" s="203"/>
      <c r="B34" s="22" t="s">
        <v>87</v>
      </c>
      <c r="C34" s="205"/>
      <c r="D34" s="23">
        <f>SUM(F9-4)</f>
        <v>76</v>
      </c>
      <c r="E34" s="22">
        <f>SUM(F6*4)</f>
        <v>4</v>
      </c>
      <c r="F34" s="219"/>
      <c r="G34" s="208"/>
      <c r="H34" s="210"/>
      <c r="I34" s="22" t="s">
        <v>36</v>
      </c>
      <c r="J34" s="211"/>
      <c r="K34" s="123"/>
      <c r="L34" s="123"/>
      <c r="M34" s="123"/>
    </row>
    <row r="35" spans="1:13" ht="20.25" customHeight="1">
      <c r="A35" s="195">
        <v>10</v>
      </c>
      <c r="B35" s="22" t="s">
        <v>31</v>
      </c>
      <c r="C35" s="204"/>
      <c r="D35" s="23"/>
      <c r="E35" s="22"/>
      <c r="F35" s="34"/>
      <c r="G35" s="206">
        <f>SUM(D35*E35+D36*E36+D37*E37+D38*E38+D39*E39+D40*E40)/12</f>
        <v>12.968666666666666</v>
      </c>
      <c r="H35" s="149"/>
      <c r="I35" s="22" t="s">
        <v>36</v>
      </c>
      <c r="J35" s="223" t="s">
        <v>40</v>
      </c>
      <c r="K35" s="123"/>
      <c r="L35" s="123"/>
      <c r="M35" s="123"/>
    </row>
    <row r="36" spans="1:13" ht="20.25" customHeight="1">
      <c r="A36" s="196"/>
      <c r="B36" s="22" t="s">
        <v>32</v>
      </c>
      <c r="C36" s="220"/>
      <c r="D36" s="23">
        <v>3.9375</v>
      </c>
      <c r="E36" s="22">
        <f>SUM(F6*2)</f>
        <v>2</v>
      </c>
      <c r="F36" s="34"/>
      <c r="G36" s="221"/>
      <c r="H36" s="155"/>
      <c r="I36" s="22" t="s">
        <v>36</v>
      </c>
      <c r="J36" s="224"/>
      <c r="K36" s="124"/>
      <c r="L36" s="123"/>
      <c r="M36" s="123"/>
    </row>
    <row r="37" spans="1:13" ht="20.25" customHeight="1">
      <c r="A37" s="196"/>
      <c r="B37" s="22" t="s">
        <v>33</v>
      </c>
      <c r="C37" s="220"/>
      <c r="D37" s="23">
        <f>SUM(F11-15.688)</f>
        <v>24.686999999999998</v>
      </c>
      <c r="E37" s="22">
        <f>SUM(F6*2)</f>
        <v>2</v>
      </c>
      <c r="F37" s="34"/>
      <c r="G37" s="221"/>
      <c r="H37" s="221"/>
      <c r="I37" s="22" t="s">
        <v>36</v>
      </c>
      <c r="J37" s="224"/>
      <c r="K37" s="124"/>
      <c r="L37" s="123"/>
      <c r="M37" s="123"/>
    </row>
    <row r="38" spans="1:13" ht="23.25" customHeight="1">
      <c r="A38" s="196"/>
      <c r="B38" s="22" t="s">
        <v>34</v>
      </c>
      <c r="C38" s="220"/>
      <c r="D38" s="23">
        <v>1.5625</v>
      </c>
      <c r="E38" s="35">
        <f>SUM(F6*2)</f>
        <v>2</v>
      </c>
      <c r="F38" s="34"/>
      <c r="G38" s="221"/>
      <c r="H38" s="221"/>
      <c r="I38" s="22" t="s">
        <v>36</v>
      </c>
      <c r="J38" s="224"/>
      <c r="K38" s="124"/>
      <c r="L38" s="123"/>
      <c r="M38" s="123"/>
    </row>
    <row r="39" spans="1:13" ht="23.25" customHeight="1">
      <c r="A39" s="196"/>
      <c r="B39" s="22" t="s">
        <v>72</v>
      </c>
      <c r="C39" s="220"/>
      <c r="D39" s="23">
        <f>SUM(D26-F11-20.25)</f>
        <v>16.0625</v>
      </c>
      <c r="E39" s="35">
        <f>SUM(F6*2)</f>
        <v>2</v>
      </c>
      <c r="F39" s="34"/>
      <c r="G39" s="221"/>
      <c r="H39" s="221"/>
      <c r="I39" s="22" t="s">
        <v>36</v>
      </c>
      <c r="J39" s="224"/>
      <c r="K39" s="124"/>
      <c r="L39" s="123"/>
      <c r="M39" s="123"/>
    </row>
    <row r="40" spans="1:13" ht="23.25" customHeight="1">
      <c r="A40" s="197"/>
      <c r="B40" s="22" t="s">
        <v>70</v>
      </c>
      <c r="C40" s="205"/>
      <c r="D40" s="23">
        <f>SUM(D25-7.0625)</f>
        <v>31.5625</v>
      </c>
      <c r="E40" s="35">
        <f>SUM(F6*2)</f>
        <v>2</v>
      </c>
      <c r="F40" s="34"/>
      <c r="G40" s="222"/>
      <c r="H40" s="222"/>
      <c r="I40" s="22" t="s">
        <v>36</v>
      </c>
      <c r="J40" s="225"/>
      <c r="K40" s="124"/>
      <c r="L40" s="123"/>
      <c r="M40" s="123"/>
    </row>
    <row r="41" spans="1:13" ht="30" customHeight="1">
      <c r="A41" s="24">
        <v>11</v>
      </c>
      <c r="B41" s="22" t="s">
        <v>18</v>
      </c>
      <c r="C41" s="22"/>
      <c r="D41" s="23">
        <f>SUM((D26*6)+(D25*8))*F6</f>
        <v>769.125</v>
      </c>
      <c r="E41" s="23"/>
      <c r="F41" s="36"/>
      <c r="G41" s="37">
        <f>SUM(D41/12)</f>
        <v>64.09375</v>
      </c>
      <c r="H41" s="37"/>
      <c r="I41" s="22" t="s">
        <v>35</v>
      </c>
      <c r="J41" s="125" t="s">
        <v>40</v>
      </c>
      <c r="K41" s="124"/>
      <c r="L41" s="123"/>
      <c r="M41" s="123"/>
    </row>
    <row r="42" spans="1:13" ht="32.25" customHeight="1">
      <c r="A42" s="24">
        <v>12</v>
      </c>
      <c r="B42" s="22" t="s">
        <v>19</v>
      </c>
      <c r="C42" s="22"/>
      <c r="D42" s="23">
        <f>SUM(D25+D26)*8*F6</f>
        <v>922.5</v>
      </c>
      <c r="E42" s="23"/>
      <c r="F42" s="38"/>
      <c r="G42" s="37">
        <f>SUM(D42/12)</f>
        <v>76.875</v>
      </c>
      <c r="H42" s="37"/>
      <c r="I42" s="22" t="s">
        <v>35</v>
      </c>
      <c r="J42" s="125" t="s">
        <v>40</v>
      </c>
      <c r="K42" s="124"/>
      <c r="L42" s="123"/>
      <c r="M42" s="123"/>
    </row>
    <row r="43" spans="1:13" ht="31.5" customHeight="1" thickBot="1">
      <c r="A43" s="39">
        <v>13</v>
      </c>
      <c r="B43" s="40" t="s">
        <v>148</v>
      </c>
      <c r="C43" s="41"/>
      <c r="D43" s="42">
        <f>SUM(D26*2*F6)</f>
        <v>153.375</v>
      </c>
      <c r="E43" s="42"/>
      <c r="F43" s="43"/>
      <c r="G43" s="44">
        <f>SUM(D43/12)</f>
        <v>12.78125</v>
      </c>
      <c r="H43" s="45"/>
      <c r="I43" s="126" t="s">
        <v>36</v>
      </c>
      <c r="J43" s="127" t="s">
        <v>40</v>
      </c>
      <c r="K43" s="124"/>
      <c r="L43" s="123"/>
      <c r="M43" s="123"/>
    </row>
    <row r="44" spans="1:11" ht="15">
      <c r="A44" s="226" t="s">
        <v>64</v>
      </c>
      <c r="B44" s="226"/>
      <c r="C44" s="226"/>
      <c r="D44" s="226"/>
      <c r="E44" s="226"/>
      <c r="F44" s="226"/>
      <c r="G44" s="226"/>
      <c r="H44" s="46"/>
      <c r="I44" s="5"/>
      <c r="J44" s="5"/>
      <c r="K44" s="5"/>
    </row>
    <row r="45" spans="1:11" ht="15" customHeight="1">
      <c r="A45" s="47"/>
      <c r="B45" s="157"/>
      <c r="C45" s="157"/>
      <c r="D45" s="157"/>
      <c r="E45" s="157"/>
      <c r="F45" s="157"/>
      <c r="G45" s="157"/>
      <c r="H45" s="157"/>
      <c r="I45" s="5"/>
      <c r="J45" s="5"/>
      <c r="K45" s="5"/>
    </row>
    <row r="46" spans="1:11" ht="15" customHeight="1">
      <c r="A46" s="157"/>
      <c r="B46" s="8"/>
      <c r="C46" s="8"/>
      <c r="D46" s="8"/>
      <c r="E46" s="8"/>
      <c r="F46" s="8"/>
      <c r="G46" s="8"/>
      <c r="H46" s="156"/>
      <c r="I46" s="5"/>
      <c r="J46" s="5"/>
      <c r="K46" s="5"/>
    </row>
    <row r="47" spans="1:11" ht="15" customHeight="1" thickBot="1">
      <c r="A47" s="156"/>
      <c r="B47" s="156"/>
      <c r="C47" s="156"/>
      <c r="D47" s="156"/>
      <c r="E47" s="156"/>
      <c r="F47" s="156"/>
      <c r="G47" s="156"/>
      <c r="H47" s="156"/>
      <c r="I47" s="5"/>
      <c r="J47" s="5"/>
      <c r="K47" s="5"/>
    </row>
    <row r="48" spans="1:11" ht="15" customHeight="1">
      <c r="A48" s="157"/>
      <c r="B48" s="229" t="s">
        <v>47</v>
      </c>
      <c r="C48" s="248"/>
      <c r="D48" s="248"/>
      <c r="E48" s="249"/>
      <c r="F48" s="229" t="s">
        <v>52</v>
      </c>
      <c r="G48" s="230"/>
      <c r="H48" s="230"/>
      <c r="I48" s="230"/>
      <c r="J48" s="231"/>
      <c r="K48" s="88"/>
    </row>
    <row r="49" spans="1:11" ht="15" customHeight="1" thickBot="1">
      <c r="A49" s="157"/>
      <c r="B49" s="250"/>
      <c r="C49" s="251"/>
      <c r="D49" s="251"/>
      <c r="E49" s="252"/>
      <c r="F49" s="235"/>
      <c r="G49" s="236"/>
      <c r="H49" s="236"/>
      <c r="I49" s="236"/>
      <c r="J49" s="237"/>
      <c r="K49" s="88"/>
    </row>
    <row r="50" spans="1:11" ht="14.25">
      <c r="A50" s="238" t="s">
        <v>55</v>
      </c>
      <c r="B50" s="48" t="s">
        <v>43</v>
      </c>
      <c r="C50" s="49" t="s">
        <v>0</v>
      </c>
      <c r="D50" s="49" t="s">
        <v>44</v>
      </c>
      <c r="E50" s="50" t="s">
        <v>45</v>
      </c>
      <c r="F50" s="48" t="s">
        <v>43</v>
      </c>
      <c r="G50" s="49" t="s">
        <v>0</v>
      </c>
      <c r="H50" s="49" t="s">
        <v>62</v>
      </c>
      <c r="I50" s="51" t="s">
        <v>50</v>
      </c>
      <c r="J50" s="50" t="s">
        <v>45</v>
      </c>
      <c r="K50" s="89"/>
    </row>
    <row r="51" spans="1:11" ht="14.25">
      <c r="A51" s="239"/>
      <c r="B51" s="24" t="s">
        <v>42</v>
      </c>
      <c r="C51" s="52">
        <f>SUM(F20:F43)</f>
        <v>99.85902283333334</v>
      </c>
      <c r="D51" s="160"/>
      <c r="E51" s="53"/>
      <c r="F51" s="24" t="s">
        <v>48</v>
      </c>
      <c r="G51" s="22">
        <f>SUM(F6*1)</f>
        <v>1</v>
      </c>
      <c r="H51" s="27">
        <f>SUM(G51*0.33)</f>
        <v>0.33</v>
      </c>
      <c r="I51" s="74"/>
      <c r="J51" s="54">
        <f>SUM(H51*I51)</f>
        <v>0</v>
      </c>
      <c r="K51" s="90"/>
    </row>
    <row r="52" spans="1:11" ht="15" thickBot="1">
      <c r="A52" s="239"/>
      <c r="B52" s="24" t="s">
        <v>56</v>
      </c>
      <c r="C52" s="52">
        <f>SUM(G20)</f>
        <v>51.416666666666664</v>
      </c>
      <c r="D52" s="160"/>
      <c r="E52" s="53"/>
      <c r="F52" s="39" t="s">
        <v>49</v>
      </c>
      <c r="G52" s="41">
        <f>SUM(F6*2)</f>
        <v>2</v>
      </c>
      <c r="H52" s="55">
        <f>SUM(G52*0.67)</f>
        <v>1.34</v>
      </c>
      <c r="I52" s="75"/>
      <c r="J52" s="56">
        <f>SUM(H52*I52)</f>
        <v>0</v>
      </c>
      <c r="K52" s="90"/>
    </row>
    <row r="53" spans="1:11" ht="14.25">
      <c r="A53" s="239"/>
      <c r="B53" s="24" t="s">
        <v>57</v>
      </c>
      <c r="C53" s="52">
        <f>SUM(G24)</f>
        <v>12.583333333333334</v>
      </c>
      <c r="D53" s="160"/>
      <c r="E53" s="53"/>
      <c r="F53" s="157"/>
      <c r="G53" s="157"/>
      <c r="H53" s="5"/>
      <c r="I53" s="57" t="s">
        <v>51</v>
      </c>
      <c r="J53" s="58">
        <f>SUM(J51:J52)</f>
        <v>0</v>
      </c>
      <c r="K53" s="58"/>
    </row>
    <row r="54" spans="1:11" ht="15" customHeight="1">
      <c r="A54" s="239"/>
      <c r="B54" s="24" t="s">
        <v>69</v>
      </c>
      <c r="C54" s="52">
        <f>SUM(G25+G27)</f>
        <v>38.4375</v>
      </c>
      <c r="D54" s="160"/>
      <c r="E54" s="53"/>
      <c r="F54" s="253" t="s">
        <v>92</v>
      </c>
      <c r="G54" s="242"/>
      <c r="H54" s="242"/>
      <c r="I54" s="242"/>
      <c r="J54" s="242"/>
      <c r="K54" s="83"/>
    </row>
    <row r="55" spans="1:11" ht="14.25">
      <c r="A55" s="239"/>
      <c r="B55" s="24" t="s">
        <v>58</v>
      </c>
      <c r="C55" s="52">
        <f>SUM(G26+G28)</f>
        <v>38.4375</v>
      </c>
      <c r="D55" s="160"/>
      <c r="E55" s="53"/>
      <c r="F55" s="254"/>
      <c r="G55" s="242"/>
      <c r="H55" s="242"/>
      <c r="I55" s="242"/>
      <c r="J55" s="242"/>
      <c r="K55" s="83"/>
    </row>
    <row r="56" spans="1:11" ht="14.25">
      <c r="A56" s="239"/>
      <c r="B56" s="24" t="s">
        <v>59</v>
      </c>
      <c r="C56" s="52">
        <f>SUM(G32)</f>
        <v>12.677083333333334</v>
      </c>
      <c r="D56" s="160"/>
      <c r="E56" s="53"/>
      <c r="F56" s="8"/>
      <c r="G56" s="8"/>
      <c r="H56" s="5"/>
      <c r="I56" s="5"/>
      <c r="J56" s="5"/>
      <c r="K56" s="5"/>
    </row>
    <row r="57" spans="1:11" ht="14.25">
      <c r="A57" s="239"/>
      <c r="B57" s="24" t="s">
        <v>60</v>
      </c>
      <c r="C57" s="52">
        <f>SUM(G33)</f>
        <v>37.666666666666664</v>
      </c>
      <c r="D57" s="160"/>
      <c r="E57" s="53"/>
      <c r="F57" s="8"/>
      <c r="G57" s="8"/>
      <c r="H57" s="5"/>
      <c r="I57" s="5"/>
      <c r="J57" s="5"/>
      <c r="K57" s="5"/>
    </row>
    <row r="58" spans="1:11" ht="15" thickBot="1">
      <c r="A58" s="240"/>
      <c r="B58" s="24" t="s">
        <v>94</v>
      </c>
      <c r="C58" s="52">
        <f>SUM(G35)</f>
        <v>12.968666666666666</v>
      </c>
      <c r="D58" s="165"/>
      <c r="E58" s="53"/>
      <c r="F58" s="8"/>
      <c r="G58" s="8"/>
      <c r="H58" s="5"/>
      <c r="I58" s="5"/>
      <c r="J58" s="5"/>
      <c r="K58" s="5"/>
    </row>
    <row r="59" spans="1:11" ht="15">
      <c r="A59" s="244" t="s">
        <v>54</v>
      </c>
      <c r="B59" s="24" t="s">
        <v>95</v>
      </c>
      <c r="C59" s="52">
        <f>SUM(G41)</f>
        <v>64.09375</v>
      </c>
      <c r="D59" s="165"/>
      <c r="E59" s="53"/>
      <c r="F59" s="229" t="s">
        <v>65</v>
      </c>
      <c r="G59" s="230"/>
      <c r="H59" s="230"/>
      <c r="I59" s="230"/>
      <c r="J59" s="231"/>
      <c r="K59" s="88"/>
    </row>
    <row r="60" spans="1:11" ht="15" customHeight="1">
      <c r="A60" s="245"/>
      <c r="B60" s="24" t="s">
        <v>110</v>
      </c>
      <c r="C60" s="52">
        <f>SUM(G42)</f>
        <v>76.875</v>
      </c>
      <c r="D60" s="160"/>
      <c r="E60" s="53"/>
      <c r="F60" s="235"/>
      <c r="G60" s="236"/>
      <c r="H60" s="236"/>
      <c r="I60" s="236"/>
      <c r="J60" s="237"/>
      <c r="K60" s="88"/>
    </row>
    <row r="61" spans="1:11" ht="15" customHeight="1">
      <c r="A61" s="245"/>
      <c r="B61" s="24" t="s">
        <v>150</v>
      </c>
      <c r="C61" s="52">
        <f>SUM(G43)</f>
        <v>12.78125</v>
      </c>
      <c r="D61" s="160"/>
      <c r="E61" s="53"/>
      <c r="F61" s="48" t="s">
        <v>43</v>
      </c>
      <c r="G61" s="49" t="s">
        <v>0</v>
      </c>
      <c r="H61" s="49" t="s">
        <v>66</v>
      </c>
      <c r="I61" s="51" t="s">
        <v>67</v>
      </c>
      <c r="J61" s="50" t="s">
        <v>45</v>
      </c>
      <c r="K61" s="89"/>
    </row>
    <row r="62" spans="1:11" ht="15" thickBot="1">
      <c r="A62" s="245"/>
      <c r="B62" s="24" t="s">
        <v>135</v>
      </c>
      <c r="C62" s="22">
        <v>0</v>
      </c>
      <c r="D62" s="52"/>
      <c r="E62" s="53"/>
      <c r="F62" s="146" t="s">
        <v>3</v>
      </c>
      <c r="G62" s="147">
        <f>SUM(F6*2)</f>
        <v>2</v>
      </c>
      <c r="H62" s="59">
        <f>SUM((F14*F15/144)*F6*2)</f>
        <v>33.387197916666665</v>
      </c>
      <c r="I62" s="75"/>
      <c r="J62" s="60">
        <f>SUM(H62*I62)</f>
        <v>0</v>
      </c>
      <c r="K62" s="90"/>
    </row>
    <row r="63" spans="1:11" ht="14.25">
      <c r="A63" s="245"/>
      <c r="B63" s="24" t="s">
        <v>96</v>
      </c>
      <c r="C63" s="22">
        <f>SUM(F6*6)</f>
        <v>6</v>
      </c>
      <c r="D63" s="52"/>
      <c r="E63" s="53"/>
      <c r="F63" s="61"/>
      <c r="G63" s="62"/>
      <c r="H63" s="63"/>
      <c r="I63" s="57" t="s">
        <v>51</v>
      </c>
      <c r="J63" s="64">
        <f>SUM(J62)</f>
        <v>0</v>
      </c>
      <c r="K63" s="91"/>
    </row>
    <row r="64" spans="1:11" ht="14.25">
      <c r="A64" s="245"/>
      <c r="B64" s="96" t="s">
        <v>97</v>
      </c>
      <c r="C64" s="22">
        <v>0</v>
      </c>
      <c r="D64" s="26"/>
      <c r="E64" s="53"/>
      <c r="F64" s="8"/>
      <c r="G64" s="8"/>
      <c r="H64" s="8"/>
      <c r="I64" s="5"/>
      <c r="J64" s="5"/>
      <c r="K64" s="5"/>
    </row>
    <row r="65" spans="1:11" ht="15" customHeight="1">
      <c r="A65" s="245"/>
      <c r="B65" s="96" t="s">
        <v>98</v>
      </c>
      <c r="C65" s="22">
        <v>0</v>
      </c>
      <c r="D65" s="26"/>
      <c r="E65" s="53"/>
      <c r="F65" s="8"/>
      <c r="G65" s="8"/>
      <c r="H65" s="65"/>
      <c r="I65" s="65"/>
      <c r="J65" s="5"/>
      <c r="K65" s="5"/>
    </row>
    <row r="66" spans="1:11" ht="14.25">
      <c r="A66" s="245"/>
      <c r="B66" s="24" t="s">
        <v>99</v>
      </c>
      <c r="C66" s="22">
        <f>SUM(F6*1)</f>
        <v>1</v>
      </c>
      <c r="D66" s="52"/>
      <c r="E66" s="53"/>
      <c r="F66" s="8"/>
      <c r="G66" s="8"/>
      <c r="H66" s="65"/>
      <c r="I66" s="65"/>
      <c r="J66" s="5"/>
      <c r="K66" s="5"/>
    </row>
    <row r="67" spans="1:11" ht="15" thickBot="1">
      <c r="A67" s="245"/>
      <c r="B67" s="24" t="s">
        <v>100</v>
      </c>
      <c r="C67" s="22">
        <f>SUM(F6*2)</f>
        <v>2</v>
      </c>
      <c r="D67" s="52"/>
      <c r="E67" s="53"/>
      <c r="F67" s="8"/>
      <c r="G67" s="8"/>
      <c r="H67" s="8"/>
      <c r="I67" s="5"/>
      <c r="J67" s="5"/>
      <c r="K67" s="5"/>
    </row>
    <row r="68" spans="1:11" ht="15">
      <c r="A68" s="245"/>
      <c r="B68" s="24" t="s">
        <v>101</v>
      </c>
      <c r="C68" s="22">
        <f>SUM(F6*16)</f>
        <v>16</v>
      </c>
      <c r="D68" s="52"/>
      <c r="E68" s="53"/>
      <c r="F68" s="229" t="s">
        <v>53</v>
      </c>
      <c r="G68" s="230"/>
      <c r="H68" s="230"/>
      <c r="I68" s="230"/>
      <c r="J68" s="231"/>
      <c r="K68" s="88"/>
    </row>
    <row r="69" spans="1:11" ht="15">
      <c r="A69" s="245"/>
      <c r="B69" s="24" t="s">
        <v>102</v>
      </c>
      <c r="C69" s="22">
        <f>SUM(F6*8)</f>
        <v>8</v>
      </c>
      <c r="D69" s="52"/>
      <c r="E69" s="53"/>
      <c r="F69" s="235"/>
      <c r="G69" s="236"/>
      <c r="H69" s="236"/>
      <c r="I69" s="236"/>
      <c r="J69" s="237"/>
      <c r="K69" s="88"/>
    </row>
    <row r="70" spans="1:11" ht="15" thickBot="1">
      <c r="A70" s="245"/>
      <c r="B70" s="24" t="s">
        <v>103</v>
      </c>
      <c r="C70" s="22">
        <f>SUM(F6*4)</f>
        <v>4</v>
      </c>
      <c r="D70" s="52"/>
      <c r="E70" s="53"/>
      <c r="F70" s="255" t="s">
        <v>68</v>
      </c>
      <c r="G70" s="247"/>
      <c r="H70" s="247"/>
      <c r="I70" s="66"/>
      <c r="J70" s="67">
        <f>SUM(E78+J53+J63)</f>
        <v>0</v>
      </c>
      <c r="K70" s="95"/>
    </row>
    <row r="71" spans="1:11" ht="14.25">
      <c r="A71" s="245"/>
      <c r="B71" s="24" t="s">
        <v>104</v>
      </c>
      <c r="C71" s="22">
        <f>SUM(F6*4)</f>
        <v>4</v>
      </c>
      <c r="D71" s="52"/>
      <c r="E71" s="53"/>
      <c r="F71" s="8"/>
      <c r="G71" s="8"/>
      <c r="H71" s="8"/>
      <c r="I71" s="5"/>
      <c r="J71" s="5"/>
      <c r="K71" s="5"/>
    </row>
    <row r="72" spans="1:11" ht="14.25">
      <c r="A72" s="245"/>
      <c r="B72" s="146" t="s">
        <v>115</v>
      </c>
      <c r="C72" s="147">
        <v>0</v>
      </c>
      <c r="D72" s="68"/>
      <c r="E72" s="53"/>
      <c r="F72" s="8"/>
      <c r="G72" s="8"/>
      <c r="H72" s="8"/>
      <c r="I72" s="5"/>
      <c r="J72" s="5"/>
      <c r="K72" s="5"/>
    </row>
    <row r="73" spans="1:11" ht="14.25">
      <c r="A73" s="245"/>
      <c r="B73" s="146" t="s">
        <v>116</v>
      </c>
      <c r="C73" s="147">
        <f>SUM(F6*2)</f>
        <v>2</v>
      </c>
      <c r="D73" s="68"/>
      <c r="E73" s="53"/>
      <c r="F73" s="8"/>
      <c r="G73" s="8"/>
      <c r="H73" s="8"/>
      <c r="I73" s="5"/>
      <c r="J73" s="5"/>
      <c r="K73" s="5"/>
    </row>
    <row r="74" spans="1:11" ht="14.25">
      <c r="A74" s="245"/>
      <c r="B74" s="146" t="s">
        <v>106</v>
      </c>
      <c r="C74" s="147">
        <f>SUM(F6*2)</f>
        <v>2</v>
      </c>
      <c r="D74" s="68"/>
      <c r="E74" s="98"/>
      <c r="F74" s="8"/>
      <c r="G74" s="8"/>
      <c r="H74" s="8"/>
      <c r="I74" s="5"/>
      <c r="J74" s="5"/>
      <c r="K74" s="5"/>
    </row>
    <row r="75" spans="1:11" ht="14.25">
      <c r="A75" s="245"/>
      <c r="B75" s="146" t="s">
        <v>107</v>
      </c>
      <c r="C75" s="147">
        <f>SUM(F6*2)</f>
        <v>2</v>
      </c>
      <c r="D75" s="68"/>
      <c r="E75" s="98"/>
      <c r="F75" s="8"/>
      <c r="G75" s="8"/>
      <c r="H75" s="8"/>
      <c r="I75" s="5"/>
      <c r="J75" s="5"/>
      <c r="K75" s="5"/>
    </row>
    <row r="76" spans="1:11" ht="14.25">
      <c r="A76" s="245"/>
      <c r="B76" s="146" t="s">
        <v>108</v>
      </c>
      <c r="C76" s="147">
        <f>SUM(F6*1)</f>
        <v>1</v>
      </c>
      <c r="D76" s="68"/>
      <c r="E76" s="98"/>
      <c r="F76" s="8"/>
      <c r="G76" s="8"/>
      <c r="H76" s="8"/>
      <c r="I76" s="5"/>
      <c r="J76" s="5"/>
      <c r="K76" s="5"/>
    </row>
    <row r="77" spans="1:11" ht="15" thickBot="1">
      <c r="A77" s="246"/>
      <c r="B77" s="39" t="s">
        <v>109</v>
      </c>
      <c r="C77" s="41">
        <f>SUM(F6*2)</f>
        <v>2</v>
      </c>
      <c r="D77" s="69"/>
      <c r="E77" s="70"/>
      <c r="F77" s="8"/>
      <c r="G77" s="8"/>
      <c r="H77" s="8"/>
      <c r="I77" s="5"/>
      <c r="J77" s="5"/>
      <c r="K77" s="5"/>
    </row>
    <row r="78" spans="1:11" ht="14.25">
      <c r="A78" s="157"/>
      <c r="B78" s="8"/>
      <c r="C78" s="8"/>
      <c r="D78" s="71" t="s">
        <v>51</v>
      </c>
      <c r="E78" s="72">
        <f>SUM(E51:E77)</f>
        <v>0</v>
      </c>
      <c r="F78" s="8"/>
      <c r="G78" s="8"/>
      <c r="H78" s="8"/>
      <c r="I78" s="5"/>
      <c r="J78" s="5"/>
      <c r="K78" s="5"/>
    </row>
    <row r="79" spans="1:6" ht="14.25">
      <c r="A79" s="3"/>
      <c r="B79" s="3"/>
      <c r="C79" s="3"/>
      <c r="D79" s="3"/>
      <c r="E79" s="3"/>
      <c r="F79" s="3"/>
    </row>
    <row r="80" spans="1:11" ht="14.25">
      <c r="A80" s="159"/>
      <c r="B80" s="159"/>
      <c r="C80" s="159"/>
      <c r="D80" s="159"/>
      <c r="E80" s="159"/>
      <c r="F80" s="159"/>
      <c r="G80" s="159"/>
      <c r="H80" s="159"/>
      <c r="I80" s="3"/>
      <c r="J80" s="3"/>
      <c r="K80" s="3"/>
    </row>
    <row r="81" spans="1:8" ht="23.25" customHeight="1">
      <c r="A81" s="159"/>
      <c r="B81" s="159"/>
      <c r="C81" s="159"/>
      <c r="D81" s="159"/>
      <c r="E81" s="159"/>
      <c r="F81" s="159"/>
      <c r="G81" s="159"/>
      <c r="H81" s="159"/>
    </row>
  </sheetData>
  <sheetProtection/>
  <mergeCells count="61">
    <mergeCell ref="A1:G1"/>
    <mergeCell ref="H1:I1"/>
    <mergeCell ref="A2:G2"/>
    <mergeCell ref="G11:I11"/>
    <mergeCell ref="E13:F13"/>
    <mergeCell ref="B17:C17"/>
    <mergeCell ref="A20:A21"/>
    <mergeCell ref="C20:C21"/>
    <mergeCell ref="F20:F21"/>
    <mergeCell ref="G20:G21"/>
    <mergeCell ref="H20:H21"/>
    <mergeCell ref="J20:J21"/>
    <mergeCell ref="K20:K21"/>
    <mergeCell ref="L20:L21"/>
    <mergeCell ref="M20:M21"/>
    <mergeCell ref="A25:A28"/>
    <mergeCell ref="C25:C26"/>
    <mergeCell ref="F25:F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I27:I28"/>
    <mergeCell ref="J27:J28"/>
    <mergeCell ref="K27:K28"/>
    <mergeCell ref="L27:L28"/>
    <mergeCell ref="M27:M28"/>
    <mergeCell ref="A29:A30"/>
    <mergeCell ref="C29:C30"/>
    <mergeCell ref="F29:F30"/>
    <mergeCell ref="G29:G30"/>
    <mergeCell ref="H29:H30"/>
    <mergeCell ref="J29:J30"/>
    <mergeCell ref="K29:K30"/>
    <mergeCell ref="L29:L30"/>
    <mergeCell ref="M29:M30"/>
    <mergeCell ref="A33:A34"/>
    <mergeCell ref="C33:C34"/>
    <mergeCell ref="F33:F34"/>
    <mergeCell ref="G33:G34"/>
    <mergeCell ref="H33:H34"/>
    <mergeCell ref="J33:J34"/>
    <mergeCell ref="A35:A40"/>
    <mergeCell ref="C35:C40"/>
    <mergeCell ref="G35:G40"/>
    <mergeCell ref="J35:J40"/>
    <mergeCell ref="H37:H40"/>
    <mergeCell ref="A44:G44"/>
    <mergeCell ref="B48:E49"/>
    <mergeCell ref="F48:J49"/>
    <mergeCell ref="A50:A58"/>
    <mergeCell ref="F54:J55"/>
    <mergeCell ref="A59:A77"/>
    <mergeCell ref="F59:J60"/>
    <mergeCell ref="F68:J69"/>
    <mergeCell ref="F70:H70"/>
  </mergeCells>
  <printOptions horizontalCentered="1"/>
  <pageMargins left="0.5" right="0.5" top="0.25" bottom="0.25" header="0.3" footer="0.3"/>
  <pageSetup fitToHeight="1" fitToWidth="1" horizontalDpi="600" verticalDpi="600" orientation="portrait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26" sqref="E26"/>
    </sheetView>
  </sheetViews>
  <sheetFormatPr defaultColWidth="8.88671875" defaultRowHeight="15"/>
  <cols>
    <col min="1" max="1" width="11.6640625" style="0" customWidth="1"/>
    <col min="2" max="2" width="10.88671875" style="0" customWidth="1"/>
  </cols>
  <sheetData>
    <row r="1" spans="1:8" s="132" customFormat="1" ht="26.25" customHeight="1" thickBot="1">
      <c r="A1" s="258" t="s">
        <v>123</v>
      </c>
      <c r="B1" s="259"/>
      <c r="C1" s="259"/>
      <c r="D1" s="259"/>
      <c r="E1" s="259"/>
      <c r="F1" s="259"/>
      <c r="G1" s="259"/>
      <c r="H1" s="260"/>
    </row>
    <row r="2" spans="1:8" ht="15" thickBot="1">
      <c r="A2" s="140" t="s">
        <v>117</v>
      </c>
      <c r="B2" s="141" t="s">
        <v>118</v>
      </c>
      <c r="C2" s="273" t="s">
        <v>119</v>
      </c>
      <c r="D2" s="273"/>
      <c r="E2" s="273"/>
      <c r="F2" s="273"/>
      <c r="G2" s="273"/>
      <c r="H2" s="274"/>
    </row>
    <row r="3" spans="1:8" s="132" customFormat="1" ht="14.25">
      <c r="A3" s="138">
        <v>2012</v>
      </c>
      <c r="B3" s="139"/>
      <c r="C3" s="275" t="s">
        <v>122</v>
      </c>
      <c r="D3" s="275"/>
      <c r="E3" s="275"/>
      <c r="F3" s="275"/>
      <c r="G3" s="275"/>
      <c r="H3" s="276"/>
    </row>
    <row r="4" spans="1:8" ht="14.25">
      <c r="A4" s="136">
        <v>41935</v>
      </c>
      <c r="B4" s="133" t="s">
        <v>120</v>
      </c>
      <c r="C4" s="261" t="s">
        <v>124</v>
      </c>
      <c r="D4" s="261"/>
      <c r="E4" s="261"/>
      <c r="F4" s="261"/>
      <c r="G4" s="261"/>
      <c r="H4" s="262"/>
    </row>
    <row r="5" spans="1:8" s="132" customFormat="1" ht="14.25">
      <c r="A5" s="263"/>
      <c r="B5" s="264"/>
      <c r="C5" s="261" t="s">
        <v>125</v>
      </c>
      <c r="D5" s="261"/>
      <c r="E5" s="261"/>
      <c r="F5" s="261"/>
      <c r="G5" s="261"/>
      <c r="H5" s="262"/>
    </row>
    <row r="6" spans="1:8" s="132" customFormat="1" ht="14.25">
      <c r="A6" s="265"/>
      <c r="B6" s="266"/>
      <c r="C6" s="261" t="s">
        <v>126</v>
      </c>
      <c r="D6" s="261"/>
      <c r="E6" s="261"/>
      <c r="F6" s="261"/>
      <c r="G6" s="261"/>
      <c r="H6" s="262"/>
    </row>
    <row r="7" spans="1:8" s="132" customFormat="1" ht="14.25">
      <c r="A7" s="265"/>
      <c r="B7" s="266"/>
      <c r="C7" s="261" t="s">
        <v>127</v>
      </c>
      <c r="D7" s="261"/>
      <c r="E7" s="261"/>
      <c r="F7" s="261"/>
      <c r="G7" s="261"/>
      <c r="H7" s="262"/>
    </row>
    <row r="8" spans="1:8" s="132" customFormat="1" ht="14.25">
      <c r="A8" s="267"/>
      <c r="B8" s="268"/>
      <c r="C8" s="261" t="s">
        <v>128</v>
      </c>
      <c r="D8" s="261"/>
      <c r="E8" s="261"/>
      <c r="F8" s="261"/>
      <c r="G8" s="261"/>
      <c r="H8" s="262"/>
    </row>
    <row r="9" spans="1:8" ht="14.25">
      <c r="A9" s="136">
        <v>41954</v>
      </c>
      <c r="B9" s="133" t="s">
        <v>121</v>
      </c>
      <c r="C9" s="261" t="s">
        <v>129</v>
      </c>
      <c r="D9" s="261"/>
      <c r="E9" s="261"/>
      <c r="F9" s="261"/>
      <c r="G9" s="261"/>
      <c r="H9" s="262"/>
    </row>
    <row r="10" spans="1:8" ht="14.25">
      <c r="A10" s="269"/>
      <c r="B10" s="270"/>
      <c r="C10" s="261" t="s">
        <v>130</v>
      </c>
      <c r="D10" s="261"/>
      <c r="E10" s="261"/>
      <c r="F10" s="261"/>
      <c r="G10" s="261"/>
      <c r="H10" s="262"/>
    </row>
    <row r="11" spans="1:8" ht="14.25">
      <c r="A11" s="271"/>
      <c r="B11" s="272"/>
      <c r="C11" s="261" t="s">
        <v>131</v>
      </c>
      <c r="D11" s="261"/>
      <c r="E11" s="261"/>
      <c r="F11" s="261"/>
      <c r="G11" s="261"/>
      <c r="H11" s="262"/>
    </row>
    <row r="12" spans="1:8" ht="14.25">
      <c r="A12" s="136">
        <v>42090</v>
      </c>
      <c r="B12" s="134" t="s">
        <v>132</v>
      </c>
      <c r="C12" s="261" t="s">
        <v>133</v>
      </c>
      <c r="D12" s="261"/>
      <c r="E12" s="261"/>
      <c r="F12" s="261"/>
      <c r="G12" s="261"/>
      <c r="H12" s="262"/>
    </row>
    <row r="13" spans="1:8" ht="14.25">
      <c r="A13" s="135"/>
      <c r="B13" s="133"/>
      <c r="C13" s="261" t="s">
        <v>134</v>
      </c>
      <c r="D13" s="261"/>
      <c r="E13" s="261"/>
      <c r="F13" s="261"/>
      <c r="G13" s="261"/>
      <c r="H13" s="262"/>
    </row>
    <row r="14" spans="1:8" ht="14.25">
      <c r="A14" s="136">
        <v>42676</v>
      </c>
      <c r="B14" s="133" t="s">
        <v>136</v>
      </c>
      <c r="C14" s="261" t="s">
        <v>137</v>
      </c>
      <c r="D14" s="261"/>
      <c r="E14" s="261"/>
      <c r="F14" s="261"/>
      <c r="G14" s="261"/>
      <c r="H14" s="262"/>
    </row>
    <row r="15" spans="1:8" ht="14.25">
      <c r="A15" s="136">
        <v>42687</v>
      </c>
      <c r="B15" s="142" t="s">
        <v>140</v>
      </c>
      <c r="C15" s="261" t="s">
        <v>141</v>
      </c>
      <c r="D15" s="261"/>
      <c r="E15" s="261"/>
      <c r="F15" s="261"/>
      <c r="G15" s="261"/>
      <c r="H15" s="262"/>
    </row>
    <row r="16" spans="1:8" ht="14.25">
      <c r="A16" s="136">
        <v>42713</v>
      </c>
      <c r="B16" s="133" t="s">
        <v>145</v>
      </c>
      <c r="C16" s="261" t="s">
        <v>144</v>
      </c>
      <c r="D16" s="261"/>
      <c r="E16" s="261"/>
      <c r="F16" s="261"/>
      <c r="G16" s="261"/>
      <c r="H16" s="262"/>
    </row>
    <row r="17" spans="1:8" ht="14.25">
      <c r="A17" s="136">
        <v>42829</v>
      </c>
      <c r="B17" s="133" t="s">
        <v>146</v>
      </c>
      <c r="C17" s="261" t="s">
        <v>149</v>
      </c>
      <c r="D17" s="261"/>
      <c r="E17" s="261"/>
      <c r="F17" s="261"/>
      <c r="G17" s="261"/>
      <c r="H17" s="262"/>
    </row>
    <row r="18" spans="1:8" ht="15" thickBot="1">
      <c r="A18" s="161">
        <v>42914</v>
      </c>
      <c r="B18" s="137" t="s">
        <v>152</v>
      </c>
      <c r="C18" s="256" t="s">
        <v>154</v>
      </c>
      <c r="D18" s="256"/>
      <c r="E18" s="256"/>
      <c r="F18" s="256"/>
      <c r="G18" s="256"/>
      <c r="H18" s="257"/>
    </row>
  </sheetData>
  <sheetProtection sheet="1"/>
  <mergeCells count="20">
    <mergeCell ref="C15:H15"/>
    <mergeCell ref="C16:H16"/>
    <mergeCell ref="C2:H2"/>
    <mergeCell ref="C3:H3"/>
    <mergeCell ref="C4:H4"/>
    <mergeCell ref="C17:H17"/>
    <mergeCell ref="C5:H5"/>
    <mergeCell ref="C8:H8"/>
    <mergeCell ref="C9:H9"/>
    <mergeCell ref="C10:H10"/>
    <mergeCell ref="C18:H18"/>
    <mergeCell ref="A1:H1"/>
    <mergeCell ref="C6:H6"/>
    <mergeCell ref="C7:H7"/>
    <mergeCell ref="A5:B8"/>
    <mergeCell ref="A10:B11"/>
    <mergeCell ref="C11:H11"/>
    <mergeCell ref="C12:H12"/>
    <mergeCell ref="C13:H13"/>
    <mergeCell ref="C14:H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</dc:creator>
  <cp:keywords/>
  <dc:description/>
  <cp:lastModifiedBy>Zoe Downs</cp:lastModifiedBy>
  <cp:lastPrinted>2022-05-17T14:51:13Z</cp:lastPrinted>
  <dcterms:created xsi:type="dcterms:W3CDTF">2011-08-19T12:44:20Z</dcterms:created>
  <dcterms:modified xsi:type="dcterms:W3CDTF">2022-05-17T14:53:30Z</dcterms:modified>
  <cp:category/>
  <cp:version/>
  <cp:contentType/>
  <cp:contentStatus/>
</cp:coreProperties>
</file>